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Науково-редакційний центр" sheetId="1" r:id="rId1"/>
    <sheet name="Пояснювальна до бюджету" sheetId="2" r:id="rId2"/>
  </sheets>
  <externalReferences>
    <externalReference r:id="rId5"/>
    <externalReference r:id="rId6"/>
  </externalReferences>
  <definedNames>
    <definedName name="_xlfn.BAHTTEXT" hidden="1">#NAME?</definedName>
    <definedName name="а">#REF!</definedName>
    <definedName name="б">#REF!</definedName>
    <definedName name="в">#REF!</definedName>
    <definedName name="г">#REF!</definedName>
    <definedName name="д">#REF!</definedName>
    <definedName name="е">#REF!</definedName>
    <definedName name="є">#REF!</definedName>
    <definedName name="ж">#REF!</definedName>
    <definedName name="з">#REF!</definedName>
    <definedName name="и">#REF!</definedName>
    <definedName name="й">#REF!</definedName>
    <definedName name="к">#REF!</definedName>
    <definedName name="л">#REF!</definedName>
    <definedName name="м">#REF!</definedName>
    <definedName name="н">#REF!</definedName>
    <definedName name="о">#REF!</definedName>
    <definedName name="_xlnm.Print_Area" localSheetId="0">'Науково-редакційний центр'!$A$1:$H$37</definedName>
    <definedName name="п">#REF!</definedName>
    <definedName name="т">#REF!</definedName>
    <definedName name="у">#REF!</definedName>
    <definedName name="ц">#REF!</definedName>
    <definedName name="ь">#REF!</definedName>
    <definedName name="ю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<sst xmlns="http://schemas.openxmlformats.org/spreadsheetml/2006/main" count="221" uniqueCount="174">
  <si>
    <t>за КПКВ 2318410 КЗ "Обласний науково-редакційний центр"</t>
  </si>
  <si>
    <t>тис. грн</t>
  </si>
  <si>
    <t>КЕКВ</t>
  </si>
  <si>
    <t>Найменування видатків</t>
  </si>
  <si>
    <t>Примітки</t>
  </si>
  <si>
    <t>Сума, тис. гривень</t>
  </si>
  <si>
    <t>%</t>
  </si>
  <si>
    <t>Оплата праці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</si>
  <si>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</si>
  <si>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</si>
  <si>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</si>
  <si>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</si>
  <si>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</si>
  <si>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</si>
  <si>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</si>
  <si>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</si>
  <si>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</si>
  <si>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</si>
  <si>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</si>
  <si>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</si>
  <si>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</si>
  <si>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</si>
  <si>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</si>
  <si>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</si>
  <si>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</si>
  <si>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</si>
  <si>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</si>
  <si>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</si>
  <si>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</si>
  <si>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</si>
  <si>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</si>
  <si>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</si>
  <si>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</si>
  <si>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</si>
  <si>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</si>
  <si>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</si>
  <si>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</si>
  <si>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* - надавати по кожній КПКВ та по "Обласному пошуковому науково-редакційному центру окремо"</t>
  </si>
  <si>
    <t>Розподіл орієнтовного обсягу асигнувань обласного бюджету на 2019 рік</t>
  </si>
  <si>
    <t xml:space="preserve">на утримання установ, підпорядкованих Департаменту інформ діяльності </t>
  </si>
  <si>
    <t>Уточнений план на 2018 рік (станом на 01.11.2018)</t>
  </si>
  <si>
    <t>Розподіл орієнтовного обсягу видатків на 2019 рік</t>
  </si>
  <si>
    <t xml:space="preserve">Відхилення розподілу на 2019 рік від уточненого плану 2018 року </t>
  </si>
  <si>
    <t>у тому числі</t>
  </si>
  <si>
    <t>Кредиторська заборгованість на 01.01.2018</t>
  </si>
  <si>
    <t>ЗАМІНА</t>
  </si>
  <si>
    <t>Додаток 1</t>
  </si>
  <si>
    <t>Фінансові зобовязання в сумі 29,6 тис. грн кредиторської заборгованості було знято на початку 2018 року (товар повернуто)</t>
  </si>
  <si>
    <t>Директор</t>
  </si>
  <si>
    <t>О.М. Потапенко</t>
  </si>
  <si>
    <t>Україна</t>
  </si>
  <si>
    <t>ЧЕРНІГІВСЬКА  ОБЛАСНА  РАДА</t>
  </si>
  <si>
    <t>ПОШУКОВЕ  АГЕНСТВО</t>
  </si>
  <si>
    <t>по  створенню  науково - документальних  серіалів</t>
  </si>
  <si>
    <t>“КНИГА  ПАМ’ЯТІ”  та  “РЕАБІЛІТОВАНІ  ІСТОРІЄЮ”</t>
  </si>
  <si>
    <t>вул. Гетьмана Полуботка, 68, к.303, м. Чернігів, 14013, т. 67-51-69, код ЄДПРОУ 34018762</t>
  </si>
  <si>
    <t>Розрахунок</t>
  </si>
  <si>
    <t>показників видатків бюджету на 2019 рік</t>
  </si>
  <si>
    <t>Загальний фонд</t>
  </si>
  <si>
    <t>КПКВК 2318410</t>
  </si>
  <si>
    <t>Підтримка книговидання</t>
  </si>
  <si>
    <t>КЕКв 2110</t>
  </si>
  <si>
    <t>К-ть од.</t>
  </si>
  <si>
    <t>ФОП за посадовим окладом</t>
  </si>
  <si>
    <t>Доплата за наукове звання 15%</t>
  </si>
  <si>
    <t>Надбавка за складність, напруженість у роботі 20%</t>
  </si>
  <si>
    <t>Надбавка за складність, напруженість у роботі 30%</t>
  </si>
  <si>
    <t>Надбавка за складність, напруженість у роботі 35%</t>
  </si>
  <si>
    <t>Надбавка за складність, напруженість у роботі</t>
  </si>
  <si>
    <t>Надбавка за складність, напруженість у роботі 50%</t>
  </si>
  <si>
    <t>Матеріальна допомога на оздоровлення</t>
  </si>
  <si>
    <t>Річний ФОП</t>
  </si>
  <si>
    <t>КЕКв 2120</t>
  </si>
  <si>
    <t>Нарахування на оплату праці</t>
  </si>
  <si>
    <t>КЕКв 2210</t>
  </si>
  <si>
    <t>Назва</t>
  </si>
  <si>
    <t>Код</t>
  </si>
  <si>
    <t>Кількість</t>
  </si>
  <si>
    <t>Ціна (грн.)</t>
  </si>
  <si>
    <t>Всього (грн.)</t>
  </si>
  <si>
    <t>Офісне устаткування та приладдя різне, канцелярські товари</t>
  </si>
  <si>
    <t>Х</t>
  </si>
  <si>
    <t>Паперові чи картонні реєстраційні журнали, бухгалтерські книги, швидкозшивачі, бланки та інші паперові канцелярські вироби</t>
  </si>
  <si>
    <t>Папір А4 (пач.)</t>
  </si>
  <si>
    <t>Комп’ютерне обладнання</t>
  </si>
  <si>
    <t>Системні блоки</t>
  </si>
  <si>
    <t>Джерела безперебійного живлення</t>
  </si>
  <si>
    <t>Книга "Чернігівська губернія в роки І світової війни" Книга 2</t>
  </si>
  <si>
    <t>Книга "Звід пам’яток історії та культури України. Чернігівська область. Варвинський район."</t>
  </si>
  <si>
    <t>Книга "Звід пам’яток  історії та культури України. Бобровицький район"</t>
  </si>
  <si>
    <t>Світильники стельові</t>
  </si>
  <si>
    <t>Передплата періодичних видань - річна («Бюджетна бухгалтерія», «Оплата праці», «Кадровик-01»)</t>
  </si>
  <si>
    <t>КЕКв 2240</t>
  </si>
  <si>
    <t>п</t>
  </si>
  <si>
    <t>р</t>
  </si>
  <si>
    <t>св</t>
  </si>
  <si>
    <t xml:space="preserve">Послуги обслуговування банку                            </t>
  </si>
  <si>
    <t>Послуги із заправки картриджів</t>
  </si>
  <si>
    <t>Технічне обслуговування і ремонт  комп’ютерної  техніки</t>
  </si>
  <si>
    <t>Технічне обслуговування вогнегасників</t>
  </si>
  <si>
    <t>Послуги зв’язку 2 точки</t>
  </si>
  <si>
    <t>Послуги Інтернету  2 точки</t>
  </si>
  <si>
    <t>Обслуговування програми "ІСПРО"</t>
  </si>
  <si>
    <t>Страхування та оренда приміщення (0,26% від балансової вартості - 566833,32 грн.)</t>
  </si>
  <si>
    <t>Відшкодування вивозу та знешкодження ТВП</t>
  </si>
  <si>
    <t>Відшкодування витрат на утриманняриміщень</t>
  </si>
  <si>
    <t>Відшкодування земельного податку</t>
  </si>
  <si>
    <t>Послуги комп’ютерної верстки книги "Чернігівська губернія в роки І світової війни" Книга 2</t>
  </si>
  <si>
    <t>Послуги комп’ютерної верстки книги "Звід пам’яток історії та культури України. Чернігівська область. Варвинський район."</t>
  </si>
  <si>
    <t>Доступ до дистрибутива "М.Е.DОС"</t>
  </si>
  <si>
    <t>Транспортні послуги з метою обстеження пам’яток  історії та культури - Срібнянський, Прилуцький районів. (км)</t>
  </si>
  <si>
    <t>Послуги обробки цифрової інформації (шт.)</t>
  </si>
  <si>
    <t>Послуги підтримки та обслуговування веб-сайту (www.memory-book.org.ua) - 1 рік</t>
  </si>
  <si>
    <t>Розрахунок витрат на утримання приміщень</t>
  </si>
  <si>
    <t>К-ть людей</t>
  </si>
  <si>
    <t>Зарбітна плата</t>
  </si>
  <si>
    <t>Загальна площа приміщення</t>
  </si>
  <si>
    <t>Площа орендова-ного приміщення</t>
  </si>
  <si>
    <t>Відкоду-вання на місяць</t>
  </si>
  <si>
    <t>ПДВ</t>
  </si>
  <si>
    <t>Усього на рік</t>
  </si>
  <si>
    <t>Охорона</t>
  </si>
  <si>
    <t>Електрик</t>
  </si>
  <si>
    <t>Прибиральниця</t>
  </si>
  <si>
    <t>Усього</t>
  </si>
  <si>
    <t>Розрахунок витрат на танспортні послуги</t>
  </si>
  <si>
    <t>Відстань (в два кінці), км</t>
  </si>
  <si>
    <t>Відстань по району, км</t>
  </si>
  <si>
    <t>К-ть поїздок</t>
  </si>
  <si>
    <t>Відстань усього, км</t>
  </si>
  <si>
    <t>Ціна за км</t>
  </si>
  <si>
    <t>Усього витрат, грн.</t>
  </si>
  <si>
    <t>Срібнянський район</t>
  </si>
  <si>
    <t>Прилуцький район</t>
  </si>
  <si>
    <t>КЕКв 2282</t>
  </si>
  <si>
    <t>Навчання по пожбезпеці (люд.)</t>
  </si>
  <si>
    <t>Навчання по безпеці життєдіяльності (люд)</t>
  </si>
  <si>
    <t>КЕКв 2800</t>
  </si>
  <si>
    <t>Пеня</t>
  </si>
  <si>
    <t>КЕКв 2250</t>
  </si>
  <si>
    <t>Місце відрядження</t>
  </si>
  <si>
    <t>Кількість осіб</t>
  </si>
  <si>
    <t>Добові</t>
  </si>
  <si>
    <t>Проживання</t>
  </si>
  <si>
    <t>Проїзні квитки (автобус)</t>
  </si>
  <si>
    <t>Проїзні квитки (поїзд)</t>
  </si>
  <si>
    <t>Проїзні квитки (тролейбус)</t>
  </si>
  <si>
    <t>КЕКв 2270</t>
  </si>
  <si>
    <t>КЕКв 2271</t>
  </si>
  <si>
    <t xml:space="preserve">Оплата  теплопостачання   </t>
  </si>
  <si>
    <t>КЕКв 2272</t>
  </si>
  <si>
    <t>Оплата водопостачання та водовідведення</t>
  </si>
  <si>
    <t>КЕКв 2273</t>
  </si>
  <si>
    <t xml:space="preserve">Оплата   електроенергії   </t>
  </si>
  <si>
    <t>Показник</t>
  </si>
  <si>
    <t>КЕКв 2271 "Оплата тепло-постачання</t>
  </si>
  <si>
    <t>КЕКВ 2272 "Оплата водопостачання і водовідведення" м куб.</t>
  </si>
  <si>
    <t>КЕКВ 2273 Оплата електро-енергії"</t>
  </si>
  <si>
    <t>Тепло</t>
  </si>
  <si>
    <t>Підігрів води</t>
  </si>
  <si>
    <t>Водопос-тачання</t>
  </si>
  <si>
    <t>Водовід-ведення</t>
  </si>
  <si>
    <t>Ліміт споживання на 2019 рік</t>
  </si>
  <si>
    <t xml:space="preserve">Розмір діючих тарифів станом на 01.10.2018 р. </t>
  </si>
  <si>
    <t>Розмір тарифів з урахуванням коригуючого коефіцієнта (1,1)</t>
  </si>
  <si>
    <t>Розмір тарифів з ПДВ балансоутримувачам (20%), втрати в електромережі( 2,4%)</t>
  </si>
  <si>
    <t xml:space="preserve">Потреба в асигнуваннях </t>
  </si>
  <si>
    <t xml:space="preserve">Головний бухгалтер                                                                     </t>
  </si>
  <si>
    <t>М.О. Сачава</t>
  </si>
  <si>
    <t>ПОГОДЖУЮ:</t>
  </si>
  <si>
    <t>Директор Департаменту  інформаційної діяльності та комунікацій з громадськістю Чернігівської ОДА</t>
  </si>
  <si>
    <t>А.Ф. Подорван</t>
  </si>
  <si>
    <t>"____"______________2017 р.</t>
  </si>
  <si>
    <t>У 2019 році  витрати збільшились у звязку зі збільшенням витрат на утримання приміщень (відшкодуванням оплати охоронців (4 одинці) та електрика (1 одиниця), збільшення ціни на транспортні послуги, оплатою дистрибутива для здачі бухгалтерської звітності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</si>
</sst>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[Red]\-#,##0\ &quot;грн.&quot;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0.0"/>
    <numFmt numFmtId="178" formatCode="#,##0.00\ [$грн.-422];[Red]\-#,##0.00\ [$грн.-422]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left" vertical="center" wrapText="1"/>
    </xf>
    <xf numFmtId="177" fontId="24" fillId="0" borderId="11" xfId="0" applyNumberFormat="1" applyFont="1" applyFill="1" applyBorder="1" applyAlignment="1">
      <alignment horizontal="center" vertical="center" wrapText="1"/>
    </xf>
    <xf numFmtId="177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4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2" fontId="0" fillId="0" borderId="11" xfId="0" applyNumberFormat="1" applyFont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6" fillId="4" borderId="11" xfId="0" applyFont="1" applyFill="1" applyBorder="1" applyAlignment="1">
      <alignment horizontal="center" vertical="center" wrapText="1"/>
    </xf>
    <xf numFmtId="2" fontId="22" fillId="4" borderId="11" xfId="0" applyNumberFormat="1" applyFont="1" applyFill="1" applyBorder="1" applyAlignment="1">
      <alignment horizontal="left" vertical="center" wrapText="1"/>
    </xf>
    <xf numFmtId="177" fontId="24" fillId="4" borderId="1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wrapText="1"/>
    </xf>
    <xf numFmtId="177" fontId="0" fillId="4" borderId="11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wrapText="1"/>
    </xf>
    <xf numFmtId="177" fontId="22" fillId="4" borderId="11" xfId="0" applyNumberFormat="1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7" fontId="0" fillId="0" borderId="0" xfId="0" applyNumberFormat="1" applyAlignment="1">
      <alignment wrapText="1"/>
    </xf>
    <xf numFmtId="0" fontId="0" fillId="4" borderId="0" xfId="0" applyFont="1" applyFill="1" applyAlignment="1">
      <alignment wrapText="1"/>
    </xf>
    <xf numFmtId="2" fontId="24" fillId="4" borderId="11" xfId="0" applyNumberFormat="1" applyFont="1" applyFill="1" applyBorder="1" applyAlignment="1">
      <alignment horizontal="left" vertical="center" wrapText="1"/>
    </xf>
    <xf numFmtId="0" fontId="0" fillId="4" borderId="0" xfId="0" applyFill="1" applyAlignment="1">
      <alignment wrapText="1"/>
    </xf>
    <xf numFmtId="0" fontId="22" fillId="4" borderId="0" xfId="0" applyFont="1" applyFill="1" applyAlignment="1">
      <alignment wrapText="1"/>
    </xf>
    <xf numFmtId="0" fontId="28" fillId="0" borderId="0" xfId="0" applyFont="1" applyAlignment="1">
      <alignment horizontal="center" wrapText="1"/>
    </xf>
    <xf numFmtId="0" fontId="26" fillId="0" borderId="11" xfId="54" applyFont="1" applyFill="1" applyBorder="1" applyAlignment="1">
      <alignment horizontal="center" vertical="center" wrapText="1"/>
      <protection/>
    </xf>
    <xf numFmtId="0" fontId="26" fillId="0" borderId="11" xfId="54" applyFont="1" applyFill="1" applyBorder="1" applyAlignment="1">
      <alignment horizontal="center" vertical="top" wrapText="1"/>
      <protection/>
    </xf>
    <xf numFmtId="0" fontId="0" fillId="0" borderId="0" xfId="54" applyFont="1" applyFill="1">
      <alignment/>
      <protection/>
    </xf>
    <xf numFmtId="0" fontId="30" fillId="0" borderId="0" xfId="54">
      <alignment/>
      <protection/>
    </xf>
    <xf numFmtId="0" fontId="30" fillId="0" borderId="0" xfId="54" applyAlignment="1">
      <alignment horizontal="center"/>
      <protection/>
    </xf>
    <xf numFmtId="0" fontId="26" fillId="0" borderId="11" xfId="54" applyFont="1" applyFill="1" applyBorder="1" applyAlignment="1">
      <alignment horizontal="left" vertical="top" wrapText="1"/>
      <protection/>
    </xf>
    <xf numFmtId="0" fontId="0" fillId="0" borderId="0" xfId="54" applyFont="1" applyFill="1" applyAlignment="1">
      <alignment horizontal="center"/>
      <protection/>
    </xf>
    <xf numFmtId="0" fontId="32" fillId="0" borderId="0" xfId="54" applyFont="1" applyFill="1">
      <alignment/>
      <protection/>
    </xf>
    <xf numFmtId="0" fontId="30" fillId="0" borderId="0" xfId="54" applyFont="1" applyFill="1">
      <alignment/>
      <protection/>
    </xf>
    <xf numFmtId="0" fontId="30" fillId="0" borderId="0" xfId="54" applyFont="1" applyFill="1" applyAlignment="1">
      <alignment horizontal="center"/>
      <protection/>
    </xf>
    <xf numFmtId="0" fontId="34" fillId="0" borderId="12" xfId="54" applyFont="1" applyFill="1" applyBorder="1" applyAlignment="1">
      <alignment vertical="top" wrapText="1"/>
      <protection/>
    </xf>
    <xf numFmtId="0" fontId="34" fillId="0" borderId="0" xfId="54" applyFont="1" applyFill="1">
      <alignment/>
      <protection/>
    </xf>
    <xf numFmtId="0" fontId="34" fillId="0" borderId="11" xfId="54" applyFont="1" applyFill="1" applyBorder="1" applyAlignment="1">
      <alignment vertical="top" wrapText="1"/>
      <protection/>
    </xf>
    <xf numFmtId="0" fontId="22" fillId="0" borderId="0" xfId="54" applyFont="1" applyFill="1">
      <alignment/>
      <protection/>
    </xf>
    <xf numFmtId="1" fontId="20" fillId="0" borderId="13" xfId="54" applyNumberFormat="1" applyFont="1" applyFill="1" applyBorder="1" applyAlignment="1">
      <alignment horizontal="center" vertical="center" wrapText="1"/>
      <protection/>
    </xf>
    <xf numFmtId="2" fontId="20" fillId="0" borderId="13" xfId="54" applyNumberFormat="1" applyFont="1" applyFill="1" applyBorder="1" applyAlignment="1">
      <alignment horizontal="center" vertical="center"/>
      <protection/>
    </xf>
    <xf numFmtId="1" fontId="30" fillId="0" borderId="0" xfId="54" applyNumberFormat="1" applyFont="1" applyFill="1">
      <alignment/>
      <protection/>
    </xf>
    <xf numFmtId="2" fontId="0" fillId="0" borderId="0" xfId="54" applyNumberFormat="1" applyFont="1" applyFill="1">
      <alignment/>
      <protection/>
    </xf>
    <xf numFmtId="0" fontId="34" fillId="0" borderId="14" xfId="54" applyFont="1" applyFill="1" applyBorder="1" applyAlignment="1">
      <alignment vertical="top" wrapText="1"/>
      <protection/>
    </xf>
    <xf numFmtId="0" fontId="36" fillId="0" borderId="15" xfId="54" applyFont="1" applyFill="1" applyBorder="1" applyAlignment="1">
      <alignment vertical="top" wrapText="1"/>
      <protection/>
    </xf>
    <xf numFmtId="0" fontId="36" fillId="0" borderId="0" xfId="54" applyFont="1" applyFill="1" applyBorder="1" applyAlignment="1">
      <alignment horizontal="right" vertical="top" wrapText="1"/>
      <protection/>
    </xf>
    <xf numFmtId="0" fontId="0" fillId="0" borderId="0" xfId="54" applyFont="1" applyFill="1" applyBorder="1">
      <alignment/>
      <protection/>
    </xf>
    <xf numFmtId="172" fontId="30" fillId="0" borderId="0" xfId="54" applyNumberFormat="1" applyFont="1" applyFill="1" applyAlignment="1">
      <alignment horizontal="center"/>
      <protection/>
    </xf>
    <xf numFmtId="0" fontId="36" fillId="0" borderId="0" xfId="54" applyFont="1" applyFill="1">
      <alignment/>
      <protection/>
    </xf>
    <xf numFmtId="0" fontId="26" fillId="0" borderId="11" xfId="54" applyFont="1" applyFill="1" applyBorder="1" applyAlignment="1">
      <alignment horizontal="right" vertical="center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right" vertical="top" wrapText="1"/>
      <protection/>
    </xf>
    <xf numFmtId="0" fontId="37" fillId="0" borderId="0" xfId="54" applyFont="1" applyFill="1" applyAlignment="1">
      <alignment horizontal="justify"/>
      <protection/>
    </xf>
    <xf numFmtId="0" fontId="26" fillId="0" borderId="11" xfId="54" applyFont="1" applyFill="1" applyBorder="1" applyAlignment="1">
      <alignment vertical="top" wrapText="1"/>
      <protection/>
    </xf>
    <xf numFmtId="0" fontId="26" fillId="0" borderId="11" xfId="54" applyFont="1" applyFill="1" applyBorder="1" applyAlignment="1">
      <alignment horizontal="right" vertical="top" wrapText="1"/>
      <protection/>
    </xf>
    <xf numFmtId="0" fontId="0" fillId="0" borderId="11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left" vertical="top" wrapText="1"/>
      <protection/>
    </xf>
    <xf numFmtId="2" fontId="26" fillId="0" borderId="11" xfId="54" applyNumberFormat="1" applyFont="1" applyFill="1" applyBorder="1" applyAlignment="1">
      <alignment horizontal="center" vertical="top" wrapText="1"/>
      <protection/>
    </xf>
    <xf numFmtId="0" fontId="21" fillId="0" borderId="11" xfId="54" applyFont="1" applyFill="1" applyBorder="1" applyAlignment="1">
      <alignment horizontal="left" vertical="top" wrapText="1"/>
      <protection/>
    </xf>
    <xf numFmtId="0" fontId="22" fillId="0" borderId="11" xfId="54" applyFont="1" applyFill="1" applyBorder="1" applyAlignment="1">
      <alignment horizontal="left" vertical="top" wrapText="1"/>
      <protection/>
    </xf>
    <xf numFmtId="0" fontId="22" fillId="0" borderId="11" xfId="54" applyFont="1" applyFill="1" applyBorder="1" applyAlignment="1">
      <alignment vertical="top" wrapText="1"/>
      <protection/>
    </xf>
    <xf numFmtId="0" fontId="22" fillId="0" borderId="11" xfId="54" applyFont="1" applyFill="1" applyBorder="1" applyAlignment="1">
      <alignment horizontal="center" vertical="top" wrapText="1"/>
      <protection/>
    </xf>
    <xf numFmtId="0" fontId="22" fillId="0" borderId="11" xfId="54" applyFont="1" applyFill="1" applyBorder="1" applyAlignment="1">
      <alignment horizontal="right" vertical="top" wrapText="1"/>
      <protection/>
    </xf>
    <xf numFmtId="0" fontId="21" fillId="0" borderId="0" xfId="54" applyFont="1" applyFill="1" applyBorder="1" applyAlignment="1">
      <alignment horizontal="left" vertical="top" wrapText="1"/>
      <protection/>
    </xf>
    <xf numFmtId="0" fontId="22" fillId="0" borderId="0" xfId="54" applyFont="1" applyFill="1" applyBorder="1" applyAlignment="1">
      <alignment horizontal="left"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22" fillId="0" borderId="0" xfId="54" applyFont="1" applyFill="1" applyBorder="1" applyAlignment="1">
      <alignment horizontal="center" vertical="top" wrapText="1"/>
      <protection/>
    </xf>
    <xf numFmtId="0" fontId="22" fillId="0" borderId="0" xfId="54" applyFont="1" applyFill="1" applyBorder="1" applyAlignment="1">
      <alignment horizontal="right" vertical="top" wrapText="1"/>
      <protection/>
    </xf>
    <xf numFmtId="0" fontId="20" fillId="0" borderId="11" xfId="54" applyFont="1" applyFill="1" applyBorder="1" applyAlignment="1">
      <alignment horizontal="center" vertical="top" wrapText="1"/>
      <protection/>
    </xf>
    <xf numFmtId="0" fontId="0" fillId="0" borderId="11" xfId="54" applyFont="1" applyFill="1" applyBorder="1" applyAlignment="1">
      <alignment horizontal="center" vertical="top" wrapText="1"/>
      <protection/>
    </xf>
    <xf numFmtId="0" fontId="32" fillId="0" borderId="0" xfId="54" applyFont="1" applyFill="1" applyAlignment="1">
      <alignment horizontal="justify"/>
      <protection/>
    </xf>
    <xf numFmtId="0" fontId="33" fillId="0" borderId="0" xfId="54" applyFont="1" applyFill="1" applyBorder="1" applyAlignment="1">
      <alignment horizontal="left"/>
      <protection/>
    </xf>
    <xf numFmtId="0" fontId="36" fillId="0" borderId="0" xfId="54" applyFont="1" applyFill="1" applyAlignment="1">
      <alignment horizontal="justify"/>
      <protection/>
    </xf>
    <xf numFmtId="172" fontId="30" fillId="0" borderId="0" xfId="54" applyNumberFormat="1" applyFont="1" applyFill="1">
      <alignment/>
      <protection/>
    </xf>
    <xf numFmtId="0" fontId="26" fillId="0" borderId="0" xfId="54" applyFont="1" applyFill="1">
      <alignment/>
      <protection/>
    </xf>
    <xf numFmtId="0" fontId="34" fillId="0" borderId="11" xfId="54" applyFont="1" applyFill="1" applyBorder="1">
      <alignment/>
      <protection/>
    </xf>
    <xf numFmtId="0" fontId="0" fillId="0" borderId="11" xfId="54" applyFont="1" applyFill="1" applyBorder="1">
      <alignment/>
      <protection/>
    </xf>
    <xf numFmtId="0" fontId="40" fillId="0" borderId="0" xfId="54" applyFont="1" applyFill="1" applyAlignment="1">
      <alignment horizontal="justify"/>
      <protection/>
    </xf>
    <xf numFmtId="0" fontId="34" fillId="0" borderId="0" xfId="54" applyFont="1" applyFill="1" applyAlignment="1">
      <alignment horizontal="justify"/>
      <protection/>
    </xf>
    <xf numFmtId="2" fontId="26" fillId="0" borderId="11" xfId="54" applyNumberFormat="1" applyFont="1" applyFill="1" applyBorder="1" applyAlignment="1">
      <alignment wrapText="1"/>
      <protection/>
    </xf>
    <xf numFmtId="2" fontId="26" fillId="0" borderId="11" xfId="54" applyNumberFormat="1" applyFont="1" applyFill="1" applyBorder="1" applyAlignment="1">
      <alignment horizontal="center" wrapText="1"/>
      <protection/>
    </xf>
    <xf numFmtId="1" fontId="26" fillId="0" borderId="11" xfId="54" applyNumberFormat="1" applyFont="1" applyFill="1" applyBorder="1" applyAlignment="1">
      <alignment wrapText="1"/>
      <protection/>
    </xf>
    <xf numFmtId="0" fontId="24" fillId="0" borderId="0" xfId="54" applyFont="1" applyFill="1">
      <alignment/>
      <protection/>
    </xf>
    <xf numFmtId="0" fontId="24" fillId="0" borderId="0" xfId="54" applyFont="1" applyFill="1" applyAlignment="1">
      <alignment horizontal="center"/>
      <protection/>
    </xf>
    <xf numFmtId="1" fontId="40" fillId="0" borderId="11" xfId="54" applyNumberFormat="1" applyFont="1" applyFill="1" applyBorder="1" applyAlignment="1">
      <alignment horizontal="center" shrinkToFit="1"/>
      <protection/>
    </xf>
    <xf numFmtId="1" fontId="40" fillId="0" borderId="11" xfId="54" applyNumberFormat="1" applyFont="1" applyFill="1" applyBorder="1" applyAlignment="1">
      <alignment shrinkToFit="1"/>
      <protection/>
    </xf>
    <xf numFmtId="0" fontId="41" fillId="0" borderId="0" xfId="54" applyFont="1" applyFill="1">
      <alignment/>
      <protection/>
    </xf>
    <xf numFmtId="0" fontId="41" fillId="0" borderId="0" xfId="54" applyFont="1" applyFill="1" applyAlignment="1">
      <alignment horizontal="center"/>
      <protection/>
    </xf>
    <xf numFmtId="0" fontId="33" fillId="0" borderId="0" xfId="54" applyFont="1" applyFill="1">
      <alignment/>
      <protection/>
    </xf>
    <xf numFmtId="0" fontId="42" fillId="0" borderId="0" xfId="54" applyFont="1" applyFill="1" applyAlignment="1">
      <alignment wrapText="1"/>
      <protection/>
    </xf>
    <xf numFmtId="0" fontId="42" fillId="0" borderId="0" xfId="54" applyFont="1" applyFill="1" applyAlignment="1">
      <alignment horizontal="center" wrapText="1"/>
      <protection/>
    </xf>
    <xf numFmtId="0" fontId="42" fillId="0" borderId="0" xfId="54" applyFont="1" applyFill="1" applyAlignment="1">
      <alignment horizontal="left" wrapText="1"/>
      <protection/>
    </xf>
    <xf numFmtId="0" fontId="30" fillId="0" borderId="0" xfId="54" applyFont="1" applyFill="1" applyAlignment="1">
      <alignment horizontal="center" wrapText="1"/>
      <protection/>
    </xf>
    <xf numFmtId="0" fontId="30" fillId="0" borderId="0" xfId="54" applyFont="1" applyFill="1" applyAlignment="1">
      <alignment wrapText="1"/>
      <protection/>
    </xf>
    <xf numFmtId="0" fontId="42" fillId="0" borderId="0" xfId="54" applyFont="1" applyFill="1">
      <alignment/>
      <protection/>
    </xf>
    <xf numFmtId="0" fontId="42" fillId="0" borderId="0" xfId="54" applyFont="1" applyFill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7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2" fillId="4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11" xfId="54" applyFont="1" applyFill="1" applyBorder="1" applyAlignment="1">
      <alignment horizontal="left" vertical="top" wrapText="1"/>
      <protection/>
    </xf>
    <xf numFmtId="0" fontId="26" fillId="0" borderId="11" xfId="54" applyFont="1" applyFill="1" applyBorder="1" applyAlignment="1">
      <alignment horizontal="left" vertical="center" wrapText="1"/>
      <protection/>
    </xf>
    <xf numFmtId="172" fontId="34" fillId="0" borderId="11" xfId="54" applyNumberFormat="1" applyFont="1" applyFill="1" applyBorder="1" applyAlignment="1">
      <alignment horizontal="center" vertical="top" wrapText="1"/>
      <protection/>
    </xf>
    <xf numFmtId="0" fontId="33" fillId="0" borderId="11" xfId="54" applyFont="1" applyFill="1" applyBorder="1" applyAlignment="1">
      <alignment horizontal="left"/>
      <protection/>
    </xf>
    <xf numFmtId="0" fontId="26" fillId="0" borderId="14" xfId="54" applyFont="1" applyFill="1" applyBorder="1" applyAlignment="1">
      <alignment horizontal="left" vertical="top" wrapText="1"/>
      <protection/>
    </xf>
    <xf numFmtId="0" fontId="26" fillId="0" borderId="16" xfId="54" applyFont="1" applyFill="1" applyBorder="1" applyAlignment="1">
      <alignment horizontal="left" vertical="top" wrapText="1"/>
      <protection/>
    </xf>
    <xf numFmtId="0" fontId="26" fillId="0" borderId="12" xfId="54" applyFont="1" applyFill="1" applyBorder="1" applyAlignment="1">
      <alignment horizontal="left" vertical="top" wrapText="1"/>
      <protection/>
    </xf>
    <xf numFmtId="0" fontId="26" fillId="0" borderId="11" xfId="54" applyFont="1" applyFill="1" applyBorder="1" applyAlignment="1">
      <alignment horizontal="center" vertical="top" wrapText="1"/>
      <protection/>
    </xf>
    <xf numFmtId="0" fontId="26" fillId="0" borderId="17" xfId="54" applyFont="1" applyFill="1" applyBorder="1" applyAlignment="1">
      <alignment horizontal="center" vertical="top" wrapText="1"/>
      <protection/>
    </xf>
    <xf numFmtId="0" fontId="26" fillId="0" borderId="18" xfId="54" applyFont="1" applyFill="1" applyBorder="1" applyAlignment="1">
      <alignment horizontal="center" vertical="top" wrapText="1"/>
      <protection/>
    </xf>
    <xf numFmtId="0" fontId="26" fillId="0" borderId="14" xfId="54" applyFont="1" applyFill="1" applyBorder="1" applyAlignment="1">
      <alignment horizontal="center" vertical="top" wrapText="1"/>
      <protection/>
    </xf>
    <xf numFmtId="0" fontId="26" fillId="0" borderId="12" xfId="54" applyFont="1" applyFill="1" applyBorder="1" applyAlignment="1">
      <alignment horizontal="center" vertical="top" wrapText="1"/>
      <protection/>
    </xf>
    <xf numFmtId="0" fontId="21" fillId="0" borderId="11" xfId="54" applyFont="1" applyFill="1" applyBorder="1" applyAlignment="1">
      <alignment horizontal="center" wrapText="1"/>
      <protection/>
    </xf>
    <xf numFmtId="0" fontId="26" fillId="0" borderId="16" xfId="54" applyFont="1" applyFill="1" applyBorder="1" applyAlignment="1">
      <alignment horizontal="center" vertical="top" wrapText="1"/>
      <protection/>
    </xf>
    <xf numFmtId="0" fontId="20" fillId="0" borderId="14" xfId="54" applyFont="1" applyFill="1" applyBorder="1" applyAlignment="1">
      <alignment horizontal="center" wrapText="1"/>
      <protection/>
    </xf>
    <xf numFmtId="0" fontId="20" fillId="0" borderId="16" xfId="54" applyFont="1" applyFill="1" applyBorder="1" applyAlignment="1">
      <alignment horizontal="center" wrapText="1"/>
      <protection/>
    </xf>
    <xf numFmtId="0" fontId="20" fillId="0" borderId="12" xfId="54" applyFont="1" applyFill="1" applyBorder="1" applyAlignment="1">
      <alignment horizontal="center" wrapText="1"/>
      <protection/>
    </xf>
    <xf numFmtId="1" fontId="40" fillId="0" borderId="11" xfId="54" applyNumberFormat="1" applyFont="1" applyFill="1" applyBorder="1" applyAlignment="1">
      <alignment horizontal="center" shrinkToFit="1"/>
      <protection/>
    </xf>
    <xf numFmtId="0" fontId="0" fillId="0" borderId="11" xfId="54" applyFont="1" applyFill="1" applyBorder="1" applyAlignment="1">
      <alignment horizontal="center" vertical="center" wrapText="1"/>
      <protection/>
    </xf>
    <xf numFmtId="2" fontId="26" fillId="0" borderId="11" xfId="54" applyNumberFormat="1" applyFont="1" applyFill="1" applyBorder="1" applyAlignment="1">
      <alignment horizontal="center" wrapText="1"/>
      <protection/>
    </xf>
    <xf numFmtId="0" fontId="34" fillId="0" borderId="11" xfId="54" applyFont="1" applyFill="1" applyBorder="1" applyAlignment="1">
      <alignment horizontal="left" vertical="top" wrapText="1"/>
      <protection/>
    </xf>
    <xf numFmtId="0" fontId="34" fillId="0" borderId="14" xfId="54" applyFont="1" applyFill="1" applyBorder="1" applyAlignment="1">
      <alignment horizontal="left" vertical="top" wrapText="1"/>
      <protection/>
    </xf>
    <xf numFmtId="0" fontId="34" fillId="0" borderId="16" xfId="54" applyFont="1" applyFill="1" applyBorder="1" applyAlignment="1">
      <alignment horizontal="left" vertical="top" wrapText="1"/>
      <protection/>
    </xf>
    <xf numFmtId="0" fontId="34" fillId="0" borderId="12" xfId="54" applyFont="1" applyFill="1" applyBorder="1" applyAlignment="1">
      <alignment horizontal="left" vertical="top" wrapText="1"/>
      <protection/>
    </xf>
    <xf numFmtId="0" fontId="0" fillId="0" borderId="14" xfId="54" applyFont="1" applyFill="1" applyBorder="1" applyAlignment="1">
      <alignment horizontal="center" vertical="top" wrapText="1"/>
      <protection/>
    </xf>
    <xf numFmtId="0" fontId="0" fillId="0" borderId="16" xfId="54" applyFont="1" applyFill="1" applyBorder="1" applyAlignment="1">
      <alignment horizontal="center" vertical="top" wrapText="1"/>
      <protection/>
    </xf>
    <xf numFmtId="0" fontId="39" fillId="0" borderId="0" xfId="54" applyFont="1" applyFill="1" applyBorder="1" applyAlignment="1">
      <alignment horizontal="left" vertical="top" wrapText="1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wrapText="1"/>
      <protection/>
    </xf>
    <xf numFmtId="172" fontId="22" fillId="0" borderId="11" xfId="54" applyNumberFormat="1" applyFont="1" applyFill="1" applyBorder="1" applyAlignment="1">
      <alignment horizontal="right" vertical="top" wrapText="1"/>
      <protection/>
    </xf>
    <xf numFmtId="0" fontId="22" fillId="0" borderId="14" xfId="54" applyFont="1" applyFill="1" applyBorder="1" applyAlignment="1">
      <alignment horizontal="left"/>
      <protection/>
    </xf>
    <xf numFmtId="0" fontId="22" fillId="0" borderId="16" xfId="54" applyFont="1" applyFill="1" applyBorder="1" applyAlignment="1">
      <alignment horizontal="left"/>
      <protection/>
    </xf>
    <xf numFmtId="0" fontId="22" fillId="0" borderId="12" xfId="54" applyFont="1" applyFill="1" applyBorder="1" applyAlignment="1">
      <alignment horizontal="left"/>
      <protection/>
    </xf>
    <xf numFmtId="0" fontId="26" fillId="0" borderId="11" xfId="54" applyFont="1" applyFill="1" applyBorder="1" applyAlignment="1">
      <alignment horizontal="center" vertical="center" wrapText="1"/>
      <protection/>
    </xf>
    <xf numFmtId="0" fontId="32" fillId="0" borderId="19" xfId="54" applyFont="1" applyFill="1" applyBorder="1" applyAlignment="1">
      <alignment horizontal="center" vertical="center" wrapText="1"/>
      <protection/>
    </xf>
    <xf numFmtId="0" fontId="32" fillId="0" borderId="20" xfId="54" applyFont="1" applyFill="1" applyBorder="1" applyAlignment="1">
      <alignment horizontal="center" vertical="center" wrapText="1"/>
      <protection/>
    </xf>
    <xf numFmtId="0" fontId="32" fillId="0" borderId="21" xfId="54" applyFont="1" applyFill="1" applyBorder="1" applyAlignment="1">
      <alignment horizontal="center" vertical="center" wrapText="1"/>
      <protection/>
    </xf>
    <xf numFmtId="0" fontId="32" fillId="0" borderId="22" xfId="54" applyFont="1" applyFill="1" applyBorder="1" applyAlignment="1">
      <alignment horizontal="center" vertical="center" wrapText="1"/>
      <protection/>
    </xf>
    <xf numFmtId="0" fontId="18" fillId="0" borderId="0" xfId="54" applyFont="1" applyFill="1" applyAlignment="1">
      <alignment horizontal="center" vertical="center"/>
      <protection/>
    </xf>
    <xf numFmtId="0" fontId="33" fillId="0" borderId="0" xfId="54" applyFont="1" applyFill="1" applyAlignment="1">
      <alignment horizontal="center" vertical="center"/>
      <protection/>
    </xf>
    <xf numFmtId="172" fontId="34" fillId="0" borderId="11" xfId="54" applyNumberFormat="1" applyFont="1" applyFill="1" applyBorder="1" applyAlignment="1">
      <alignment horizontal="right" vertical="top" wrapText="1"/>
      <protection/>
    </xf>
    <xf numFmtId="0" fontId="33" fillId="0" borderId="10" xfId="54" applyFont="1" applyFill="1" applyBorder="1" applyAlignment="1">
      <alignment horizontal="center" vertical="center"/>
      <protection/>
    </xf>
    <xf numFmtId="0" fontId="26" fillId="0" borderId="11" xfId="54" applyFont="1" applyFill="1" applyBorder="1" applyAlignment="1">
      <alignment horizontal="center" wrapText="1"/>
      <protection/>
    </xf>
    <xf numFmtId="0" fontId="0" fillId="0" borderId="23" xfId="54" applyFont="1" applyFill="1" applyBorder="1" applyAlignment="1">
      <alignment horizontal="center" vertical="center" wrapText="1"/>
      <protection/>
    </xf>
    <xf numFmtId="0" fontId="0" fillId="0" borderId="24" xfId="54" applyFont="1" applyFill="1" applyBorder="1" applyAlignment="1">
      <alignment horizontal="center" vertical="center" wrapText="1"/>
      <protection/>
    </xf>
    <xf numFmtId="0" fontId="0" fillId="0" borderId="25" xfId="54" applyFont="1" applyFill="1" applyBorder="1" applyAlignment="1">
      <alignment horizontal="center" vertical="center" wrapText="1"/>
      <protection/>
    </xf>
    <xf numFmtId="0" fontId="0" fillId="0" borderId="17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8" xfId="54" applyFont="1" applyFill="1" applyBorder="1" applyAlignment="1">
      <alignment horizontal="center" vertical="center" wrapText="1"/>
      <protection/>
    </xf>
    <xf numFmtId="0" fontId="35" fillId="0" borderId="26" xfId="54" applyFont="1" applyFill="1" applyBorder="1" applyAlignment="1">
      <alignment horizontal="center" vertical="center" wrapText="1"/>
      <protection/>
    </xf>
    <xf numFmtId="0" fontId="35" fillId="0" borderId="13" xfId="54" applyFont="1" applyFill="1" applyBorder="1" applyAlignment="1">
      <alignment horizontal="center" vertical="center" wrapText="1"/>
      <protection/>
    </xf>
    <xf numFmtId="0" fontId="34" fillId="0" borderId="14" xfId="54" applyFont="1" applyFill="1" applyBorder="1" applyAlignment="1">
      <alignment horizontal="center" vertical="top" shrinkToFit="1"/>
      <protection/>
    </xf>
    <xf numFmtId="0" fontId="34" fillId="0" borderId="16" xfId="54" applyFont="1" applyFill="1" applyBorder="1" applyAlignment="1">
      <alignment horizontal="center" vertical="top" shrinkToFit="1"/>
      <protection/>
    </xf>
    <xf numFmtId="0" fontId="34" fillId="0" borderId="11" xfId="54" applyFont="1" applyFill="1" applyBorder="1" applyAlignment="1">
      <alignment horizontal="center" vertical="top" wrapText="1"/>
      <protection/>
    </xf>
    <xf numFmtId="0" fontId="38" fillId="0" borderId="16" xfId="54" applyFont="1" applyFill="1" applyBorder="1" applyAlignment="1">
      <alignment horizontal="left" wrapText="1"/>
      <protection/>
    </xf>
    <xf numFmtId="0" fontId="34" fillId="0" borderId="27" xfId="54" applyFont="1" applyFill="1" applyBorder="1" applyAlignment="1">
      <alignment horizontal="center"/>
      <protection/>
    </xf>
    <xf numFmtId="0" fontId="0" fillId="0" borderId="0" xfId="54" applyFont="1" applyFill="1" applyAlignment="1">
      <alignment horizontal="center"/>
      <protection/>
    </xf>
    <xf numFmtId="172" fontId="22" fillId="0" borderId="11" xfId="54" applyNumberFormat="1" applyFont="1" applyFill="1" applyBorder="1" applyAlignment="1">
      <alignment horizontal="center" vertical="top" wrapText="1"/>
      <protection/>
    </xf>
    <xf numFmtId="0" fontId="42" fillId="0" borderId="10" xfId="54" applyFont="1" applyFill="1" applyBorder="1" applyAlignment="1">
      <alignment horizontal="left" wrapText="1"/>
      <protection/>
    </xf>
    <xf numFmtId="0" fontId="42" fillId="0" borderId="0" xfId="54" applyFont="1" applyFill="1" applyAlignment="1">
      <alignment horizontal="left"/>
      <protection/>
    </xf>
    <xf numFmtId="0" fontId="42" fillId="0" borderId="0" xfId="54" applyFont="1" applyFill="1" applyAlignment="1">
      <alignment horizontal="left" wrapText="1"/>
      <protection/>
    </xf>
    <xf numFmtId="0" fontId="34" fillId="0" borderId="0" xfId="54" applyFont="1" applyFill="1" applyAlignment="1">
      <alignment horizontal="center"/>
      <protection/>
    </xf>
    <xf numFmtId="0" fontId="34" fillId="0" borderId="0" xfId="54" applyFont="1" applyFill="1" applyBorder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яснювальна 2019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0</xdr:rowOff>
    </xdr:from>
    <xdr:to>
      <xdr:col>4</xdr:col>
      <xdr:colOff>361950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600075</xdr:colOff>
      <xdr:row>117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1302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600075</xdr:colOff>
      <xdr:row>117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1302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600075</xdr:colOff>
      <xdr:row>117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1302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600075</xdr:colOff>
      <xdr:row>117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1302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600075</xdr:colOff>
      <xdr:row>117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1302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600075</xdr:colOff>
      <xdr:row>117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1302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110;&#1103;\2012\&#1041;&#1102;&#1076;&#1078;&#1077;&#1090;%202013\&#1041;&#1102;&#1076;&#1078;&#1077;&#1090;&#1085;&#1080;&#1081;%20&#1079;&#1072;&#1087;&#1080;&#1090;%202013%20&#1050;&#1085;&#1080;&#1075;&#1072;%20&#1055;&#1072;&#1084;&#1103;&#1090;&#1110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59;&#1061;&#1043;&#1040;&#1051;&#1058;&#1045;&#1056;&#1030;&#1071;\&#1054;&#1041;&#1051;&#1040;&#1057;&#1053;&#1048;&#1049;%20&#1041;&#1070;&#1044;&#1046;&#1045;&#1058;\&#1055;&#1054;&#1058;&#1056;&#1045;&#1041;&#1040;%20&#1074;%20&#1073;&#1102;&#1076;&#1078;&#1077;&#1090;%20&#1072;&#1089;&#1080;&#1075;&#1085;&#1091;&#1074;\&#1055;&#1056;&#1054;&#1045;&#1050;&#1058;%20&#1054;&#1073;&#1083;&#1072;&#1089;&#1085;&#1086;&#1075;&#1086;%20&#1073;&#1102;&#1076;&#1078;&#1077;&#1090;&#1091;%20&#1085;&#1072;%202019%20&#1088;&#1110;&#1082;\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-1"/>
      <sheetName val="2013-2.2"/>
      <sheetName val="2013-2.3"/>
      <sheetName val="2013-2.4"/>
      <sheetName val="2013-2.7.1"/>
      <sheetName val="2013-2.7.2"/>
      <sheetName val="2013-2.7.3"/>
    </sheetNames>
    <sheetDataSet>
      <sheetData sheetId="1">
        <row r="10">
          <cell r="B10" t="str">
            <v>Оплата праці</v>
          </cell>
        </row>
        <row r="13">
          <cell r="B13" t="str">
            <v>Предмети, матеріали, обладнання та інвентар</v>
          </cell>
        </row>
        <row r="16">
          <cell r="B16" t="str">
            <v>Оплата послуг (крім комунальних) </v>
          </cell>
        </row>
        <row r="17">
          <cell r="B17" t="str">
            <v>Видатки на відрядження</v>
          </cell>
        </row>
        <row r="18">
          <cell r="B18" t="str">
            <v>Оплата комунальних послуг та енергоносіїв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17"/>
      <sheetName val="20.03.17"/>
      <sheetName val="23.02.17"/>
      <sheetName val="01.04.17"/>
      <sheetName val="01.12.19 р. "/>
      <sheetName val="01.07.19 р."/>
      <sheetName val="01.01.19 р. (1)"/>
      <sheetName val="01.01.19 р. (2)"/>
      <sheetName val="01.01.19 р."/>
      <sheetName val="01.05.18 р."/>
      <sheetName val="01.01.18 р."/>
      <sheetName val="ДовидникКПК"/>
      <sheetName val="ДовидникКФК"/>
      <sheetName val="ДовидникКВК(ГОС)"/>
    </sheetNames>
    <sheetDataSet>
      <sheetData sheetId="8">
        <row r="57">
          <cell r="E57">
            <v>211800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43"/>
  <sheetViews>
    <sheetView tabSelected="1" view="pageBreakPreview" zoomScaleSheetLayoutView="100" zoomScalePageLayoutView="0" workbookViewId="0" topLeftCell="A1">
      <selection activeCell="A4" sqref="A4:H4"/>
    </sheetView>
  </sheetViews>
  <sheetFormatPr defaultColWidth="9.33203125" defaultRowHeight="12.75"/>
  <cols>
    <col min="1" max="1" width="8.66015625" style="1" customWidth="1"/>
    <col min="2" max="2" width="35.33203125" style="1" customWidth="1"/>
    <col min="3" max="3" width="15.5" style="1" customWidth="1"/>
    <col min="4" max="4" width="17" style="1" customWidth="1"/>
    <col min="5" max="5" width="15.66015625" style="1" customWidth="1"/>
    <col min="6" max="6" width="12.16015625" style="1" customWidth="1"/>
    <col min="7" max="7" width="11.16015625" style="1" customWidth="1"/>
    <col min="8" max="8" width="29.33203125" style="1" customWidth="1"/>
    <col min="9" max="16384" width="9.33203125" style="1" customWidth="1"/>
  </cols>
  <sheetData>
    <row r="1" spans="2:8" ht="18" customHeight="1">
      <c r="B1" s="34" t="s">
        <v>45</v>
      </c>
      <c r="H1" s="10" t="s">
        <v>46</v>
      </c>
    </row>
    <row r="2" spans="1:8" ht="19.5" customHeight="1">
      <c r="A2" s="111" t="s">
        <v>38</v>
      </c>
      <c r="B2" s="111"/>
      <c r="C2" s="111"/>
      <c r="D2" s="111"/>
      <c r="E2" s="111"/>
      <c r="F2" s="111"/>
      <c r="G2" s="111"/>
      <c r="H2" s="111"/>
    </row>
    <row r="3" spans="1:8" ht="24.75" customHeight="1">
      <c r="A3" s="112" t="s">
        <v>39</v>
      </c>
      <c r="B3" s="112"/>
      <c r="C3" s="112"/>
      <c r="D3" s="112"/>
      <c r="E3" s="112"/>
      <c r="F3" s="112"/>
      <c r="G3" s="112"/>
      <c r="H3" s="112"/>
    </row>
    <row r="4" spans="1:8" ht="20.25" customHeight="1">
      <c r="A4" s="113" t="s">
        <v>0</v>
      </c>
      <c r="B4" s="113"/>
      <c r="C4" s="113"/>
      <c r="D4" s="113"/>
      <c r="E4" s="113"/>
      <c r="F4" s="113"/>
      <c r="G4" s="113"/>
      <c r="H4" s="113"/>
    </row>
    <row r="5" spans="1:8" ht="21" customHeight="1">
      <c r="A5" s="2"/>
      <c r="B5" s="2"/>
      <c r="C5" s="2"/>
      <c r="D5" s="2"/>
      <c r="E5" s="2"/>
      <c r="F5" s="2"/>
      <c r="G5" s="3"/>
      <c r="H5" s="4" t="s">
        <v>1</v>
      </c>
    </row>
    <row r="6" spans="1:8" ht="56.25" customHeight="1">
      <c r="A6" s="117" t="s">
        <v>2</v>
      </c>
      <c r="B6" s="116" t="s">
        <v>3</v>
      </c>
      <c r="C6" s="116" t="s">
        <v>40</v>
      </c>
      <c r="D6" s="5" t="s">
        <v>43</v>
      </c>
      <c r="E6" s="116" t="s">
        <v>41</v>
      </c>
      <c r="F6" s="116" t="s">
        <v>42</v>
      </c>
      <c r="G6" s="116"/>
      <c r="H6" s="116" t="s">
        <v>4</v>
      </c>
    </row>
    <row r="7" spans="1:8" ht="38.25">
      <c r="A7" s="117"/>
      <c r="B7" s="116"/>
      <c r="C7" s="116"/>
      <c r="D7" s="5" t="s">
        <v>44</v>
      </c>
      <c r="E7" s="116"/>
      <c r="F7" s="5" t="s">
        <v>5</v>
      </c>
      <c r="G7" s="5" t="s">
        <v>6</v>
      </c>
      <c r="H7" s="116"/>
    </row>
    <row r="8" spans="1:8" s="10" customFormat="1" ht="22.5" customHeight="1">
      <c r="A8" s="5">
        <v>2110</v>
      </c>
      <c r="B8" s="6" t="s">
        <v>7</v>
      </c>
      <c r="C8" s="7">
        <v>835.1</v>
      </c>
      <c r="D8" s="7"/>
      <c r="E8" s="7">
        <v>962.8</v>
      </c>
      <c r="F8" s="8">
        <f>E8-(C8-D8)</f>
        <v>127.69999999999993</v>
      </c>
      <c r="G8" s="8">
        <f>IF(C8&gt;0,F8/(C8-D8)*100,0)</f>
        <v>15.29158184648544</v>
      </c>
      <c r="H8" s="9"/>
    </row>
    <row r="9" spans="1:8" s="10" customFormat="1" ht="17.25" customHeight="1">
      <c r="A9" s="5">
        <v>2120</v>
      </c>
      <c r="B9" s="6" t="s">
        <v>8</v>
      </c>
      <c r="C9" s="7">
        <v>183.7</v>
      </c>
      <c r="D9" s="7"/>
      <c r="E9" s="7">
        <v>211.8</v>
      </c>
      <c r="F9" s="8">
        <f aca="true" t="shared" si="0" ref="F9:F36">E9-(C9-D9)</f>
        <v>28.100000000000023</v>
      </c>
      <c r="G9" s="8">
        <f aca="true" t="shared" si="1" ref="G9:G36">IF(C9&gt;0,F9/(C9-D9)*100,0)</f>
        <v>15.29667936853567</v>
      </c>
      <c r="H9" s="9"/>
    </row>
    <row r="10" spans="1:8" s="10" customFormat="1" ht="21.75" customHeight="1">
      <c r="A10" s="5">
        <v>2200</v>
      </c>
      <c r="B10" s="6" t="s">
        <v>9</v>
      </c>
      <c r="C10" s="8">
        <f>SUM(C11:C15)+C16+C22</f>
        <v>380.5</v>
      </c>
      <c r="D10" s="8">
        <f>SUM(D11:D15)+D16+D22</f>
        <v>15.700000000000003</v>
      </c>
      <c r="E10" s="8">
        <f>SUM(E11:E15)+E16+E22</f>
        <v>372.4</v>
      </c>
      <c r="F10" s="8">
        <f t="shared" si="0"/>
        <v>7.599999999999966</v>
      </c>
      <c r="G10" s="8">
        <f t="shared" si="1"/>
        <v>2.0833333333333237</v>
      </c>
      <c r="H10" s="9"/>
    </row>
    <row r="11" spans="1:8" s="10" customFormat="1" ht="76.5">
      <c r="A11" s="11">
        <v>2210</v>
      </c>
      <c r="B11" s="12" t="s">
        <v>10</v>
      </c>
      <c r="C11" s="7">
        <v>202.3</v>
      </c>
      <c r="D11" s="7">
        <f>35.7-27.5-2.1</f>
        <v>6.100000000000003</v>
      </c>
      <c r="E11" s="7">
        <v>186</v>
      </c>
      <c r="F11" s="8">
        <f t="shared" si="0"/>
        <v>-10.200000000000017</v>
      </c>
      <c r="G11" s="8">
        <f t="shared" si="1"/>
        <v>-5.198776758409794</v>
      </c>
      <c r="H11" s="9" t="s">
        <v>47</v>
      </c>
    </row>
    <row r="12" spans="1:8" ht="22.5" customHeight="1">
      <c r="A12" s="11">
        <v>2220</v>
      </c>
      <c r="B12" s="12" t="s">
        <v>11</v>
      </c>
      <c r="C12" s="7"/>
      <c r="D12" s="7"/>
      <c r="E12" s="13"/>
      <c r="F12" s="8">
        <f t="shared" si="0"/>
        <v>0</v>
      </c>
      <c r="G12" s="8">
        <f t="shared" si="1"/>
        <v>0</v>
      </c>
      <c r="H12" s="15"/>
    </row>
    <row r="13" spans="1:8" ht="12.75">
      <c r="A13" s="11">
        <v>2230</v>
      </c>
      <c r="B13" s="12" t="s">
        <v>12</v>
      </c>
      <c r="C13" s="7"/>
      <c r="D13" s="7"/>
      <c r="E13" s="13"/>
      <c r="F13" s="8">
        <f t="shared" si="0"/>
        <v>0</v>
      </c>
      <c r="G13" s="8">
        <f t="shared" si="1"/>
        <v>0</v>
      </c>
      <c r="H13" s="15"/>
    </row>
    <row r="14" spans="1:8" ht="146.25" customHeight="1">
      <c r="A14" s="11">
        <v>2240</v>
      </c>
      <c r="B14" s="16" t="s">
        <v>13</v>
      </c>
      <c r="C14" s="7">
        <v>100</v>
      </c>
      <c r="D14" s="7">
        <v>2.9</v>
      </c>
      <c r="E14" s="7">
        <v>127</v>
      </c>
      <c r="F14" s="8">
        <f t="shared" si="0"/>
        <v>29.900000000000006</v>
      </c>
      <c r="G14" s="8">
        <f t="shared" si="1"/>
        <v>30.792996910401655</v>
      </c>
      <c r="H14" s="9" t="s">
        <v>173</v>
      </c>
    </row>
    <row r="15" spans="1:8" s="10" customFormat="1" ht="20.25" customHeight="1">
      <c r="A15" s="5">
        <v>2250</v>
      </c>
      <c r="B15" s="6" t="s">
        <v>14</v>
      </c>
      <c r="C15" s="7">
        <v>4.9</v>
      </c>
      <c r="D15" s="7"/>
      <c r="E15" s="7">
        <v>5.9</v>
      </c>
      <c r="F15" s="8">
        <f t="shared" si="0"/>
        <v>1</v>
      </c>
      <c r="G15" s="8">
        <f t="shared" si="1"/>
        <v>20.40816326530612</v>
      </c>
      <c r="H15" s="9"/>
    </row>
    <row r="16" spans="1:8" s="10" customFormat="1" ht="24" customHeight="1">
      <c r="A16" s="5">
        <v>2270</v>
      </c>
      <c r="B16" s="6" t="s">
        <v>15</v>
      </c>
      <c r="C16" s="8">
        <f>SUM(C17:C21)</f>
        <v>71.9</v>
      </c>
      <c r="D16" s="8">
        <f>SUM(D17:D21)</f>
        <v>6.699999999999999</v>
      </c>
      <c r="E16" s="8">
        <f>SUM(E17:E21)</f>
        <v>53.5</v>
      </c>
      <c r="F16" s="8">
        <f t="shared" si="0"/>
        <v>-11.700000000000003</v>
      </c>
      <c r="G16" s="8">
        <f t="shared" si="1"/>
        <v>-17.944785276073624</v>
      </c>
      <c r="H16" s="9"/>
    </row>
    <row r="17" spans="1:8" ht="18.75" customHeight="1">
      <c r="A17" s="11">
        <v>2271</v>
      </c>
      <c r="B17" s="12" t="s">
        <v>16</v>
      </c>
      <c r="C17" s="7">
        <v>54</v>
      </c>
      <c r="D17" s="7">
        <v>5.6</v>
      </c>
      <c r="E17" s="13">
        <v>38.8</v>
      </c>
      <c r="F17" s="8">
        <f t="shared" si="0"/>
        <v>-9.600000000000001</v>
      </c>
      <c r="G17" s="8">
        <f t="shared" si="1"/>
        <v>-19.834710743801658</v>
      </c>
      <c r="H17" s="15"/>
    </row>
    <row r="18" spans="1:8" ht="18.75" customHeight="1">
      <c r="A18" s="11">
        <v>2272</v>
      </c>
      <c r="B18" s="12" t="s">
        <v>17</v>
      </c>
      <c r="C18" s="7">
        <v>1.1</v>
      </c>
      <c r="D18" s="7">
        <v>0.1</v>
      </c>
      <c r="E18" s="13">
        <v>0.7</v>
      </c>
      <c r="F18" s="8">
        <f t="shared" si="0"/>
        <v>-0.30000000000000004</v>
      </c>
      <c r="G18" s="8">
        <f t="shared" si="1"/>
        <v>-30.000000000000004</v>
      </c>
      <c r="H18" s="15"/>
    </row>
    <row r="19" spans="1:8" ht="15.75" customHeight="1">
      <c r="A19" s="11">
        <v>2273</v>
      </c>
      <c r="B19" s="12" t="s">
        <v>18</v>
      </c>
      <c r="C19" s="7">
        <v>16.8</v>
      </c>
      <c r="D19" s="7">
        <v>1</v>
      </c>
      <c r="E19" s="13">
        <v>14</v>
      </c>
      <c r="F19" s="8">
        <f t="shared" si="0"/>
        <v>-1.8000000000000007</v>
      </c>
      <c r="G19" s="8">
        <f t="shared" si="1"/>
        <v>-11.392405063291143</v>
      </c>
      <c r="H19" s="15"/>
    </row>
    <row r="20" spans="1:8" ht="17.25" customHeight="1">
      <c r="A20" s="11">
        <v>2274</v>
      </c>
      <c r="B20" s="12" t="s">
        <v>19</v>
      </c>
      <c r="C20" s="7"/>
      <c r="D20" s="7"/>
      <c r="E20" s="13"/>
      <c r="F20" s="8">
        <f t="shared" si="0"/>
        <v>0</v>
      </c>
      <c r="G20" s="8">
        <f t="shared" si="1"/>
        <v>0</v>
      </c>
      <c r="H20" s="15"/>
    </row>
    <row r="21" spans="1:8" ht="19.5" customHeight="1">
      <c r="A21" s="11">
        <v>2275</v>
      </c>
      <c r="B21" s="12" t="s">
        <v>20</v>
      </c>
      <c r="C21" s="7"/>
      <c r="D21" s="7"/>
      <c r="E21" s="13"/>
      <c r="F21" s="8">
        <f t="shared" si="0"/>
        <v>0</v>
      </c>
      <c r="G21" s="8">
        <f t="shared" si="1"/>
        <v>0</v>
      </c>
      <c r="H21" s="15"/>
    </row>
    <row r="22" spans="1:8" s="10" customFormat="1" ht="51">
      <c r="A22" s="5">
        <v>2282</v>
      </c>
      <c r="B22" s="6" t="s">
        <v>21</v>
      </c>
      <c r="C22" s="7">
        <v>1.4</v>
      </c>
      <c r="D22" s="7"/>
      <c r="E22" s="7"/>
      <c r="F22" s="8">
        <f t="shared" si="0"/>
        <v>-1.4</v>
      </c>
      <c r="G22" s="8">
        <f t="shared" si="1"/>
        <v>-100</v>
      </c>
      <c r="H22" s="9"/>
    </row>
    <row r="23" spans="1:8" s="10" customFormat="1" ht="45.75" customHeight="1">
      <c r="A23" s="5">
        <v>2610</v>
      </c>
      <c r="B23" s="6" t="s">
        <v>22</v>
      </c>
      <c r="C23" s="7"/>
      <c r="D23" s="7"/>
      <c r="E23" s="7"/>
      <c r="F23" s="8">
        <f t="shared" si="0"/>
        <v>0</v>
      </c>
      <c r="G23" s="8">
        <f t="shared" si="1"/>
        <v>0</v>
      </c>
      <c r="H23" s="9"/>
    </row>
    <row r="24" spans="1:8" s="10" customFormat="1" ht="17.25" customHeight="1">
      <c r="A24" s="5">
        <v>2700</v>
      </c>
      <c r="B24" s="6" t="s">
        <v>23</v>
      </c>
      <c r="C24" s="8">
        <f>SUM(C25:C27)</f>
        <v>0</v>
      </c>
      <c r="D24" s="8">
        <f>SUM(D25:D27)</f>
        <v>0</v>
      </c>
      <c r="E24" s="8">
        <f>SUM(E25:E27)</f>
        <v>0</v>
      </c>
      <c r="F24" s="8">
        <f t="shared" si="0"/>
        <v>0</v>
      </c>
      <c r="G24" s="8">
        <f t="shared" si="1"/>
        <v>0</v>
      </c>
      <c r="H24" s="9"/>
    </row>
    <row r="25" spans="1:8" s="10" customFormat="1" ht="12.75">
      <c r="A25" s="11">
        <v>2710</v>
      </c>
      <c r="B25" s="12" t="s">
        <v>24</v>
      </c>
      <c r="C25" s="7"/>
      <c r="D25" s="7"/>
      <c r="E25" s="8"/>
      <c r="F25" s="8">
        <f t="shared" si="0"/>
        <v>0</v>
      </c>
      <c r="G25" s="8">
        <f t="shared" si="1"/>
        <v>0</v>
      </c>
      <c r="H25" s="9"/>
    </row>
    <row r="26" spans="1:8" s="18" customFormat="1" ht="16.5" customHeight="1">
      <c r="A26" s="11">
        <v>2720</v>
      </c>
      <c r="B26" s="12" t="s">
        <v>25</v>
      </c>
      <c r="C26" s="7"/>
      <c r="D26" s="7"/>
      <c r="E26" s="17"/>
      <c r="F26" s="8">
        <f t="shared" si="0"/>
        <v>0</v>
      </c>
      <c r="G26" s="8">
        <f t="shared" si="1"/>
        <v>0</v>
      </c>
      <c r="H26" s="14"/>
    </row>
    <row r="27" spans="1:8" s="18" customFormat="1" ht="15.75" customHeight="1">
      <c r="A27" s="11">
        <v>2730</v>
      </c>
      <c r="B27" s="12" t="s">
        <v>26</v>
      </c>
      <c r="C27" s="7"/>
      <c r="D27" s="7"/>
      <c r="E27" s="17"/>
      <c r="F27" s="8">
        <f t="shared" si="0"/>
        <v>0</v>
      </c>
      <c r="G27" s="8">
        <f t="shared" si="1"/>
        <v>0</v>
      </c>
      <c r="H27" s="14"/>
    </row>
    <row r="28" spans="1:8" s="10" customFormat="1" ht="19.5" customHeight="1">
      <c r="A28" s="5">
        <v>2800</v>
      </c>
      <c r="B28" s="6" t="s">
        <v>27</v>
      </c>
      <c r="C28" s="7">
        <v>0.1</v>
      </c>
      <c r="D28" s="7">
        <v>0.1</v>
      </c>
      <c r="E28" s="8">
        <v>0.1</v>
      </c>
      <c r="F28" s="8">
        <f t="shared" si="0"/>
        <v>0.1</v>
      </c>
      <c r="G28" s="8" t="e">
        <f t="shared" si="1"/>
        <v>#DIV/0!</v>
      </c>
      <c r="H28" s="9"/>
    </row>
    <row r="29" spans="1:8" s="30" customFormat="1" ht="51.75" customHeight="1">
      <c r="A29" s="19" t="s">
        <v>28</v>
      </c>
      <c r="B29" s="20" t="s">
        <v>29</v>
      </c>
      <c r="C29" s="21">
        <f>C8+C9+C10+C23+C24+C28</f>
        <v>1399.3999999999999</v>
      </c>
      <c r="D29" s="21">
        <f>D8+D9+D10+D23+D24+D28</f>
        <v>15.800000000000002</v>
      </c>
      <c r="E29" s="21">
        <f>E8+E9+E10+E23+E24+E28</f>
        <v>1547.1</v>
      </c>
      <c r="F29" s="21">
        <f t="shared" si="0"/>
        <v>163.5</v>
      </c>
      <c r="G29" s="21">
        <f t="shared" si="1"/>
        <v>11.816999132697312</v>
      </c>
      <c r="H29" s="22"/>
    </row>
    <row r="30" spans="1:8" s="10" customFormat="1" ht="57" customHeight="1">
      <c r="A30" s="5">
        <v>3000</v>
      </c>
      <c r="B30" s="6" t="s">
        <v>30</v>
      </c>
      <c r="C30" s="8">
        <f>C31+C32+C34+C33</f>
        <v>492.1</v>
      </c>
      <c r="D30" s="8">
        <f>D31+D32+D34+D33</f>
        <v>0</v>
      </c>
      <c r="E30" s="8">
        <f>E31+E32+E34+E33</f>
        <v>0</v>
      </c>
      <c r="F30" s="8">
        <f t="shared" si="0"/>
        <v>-492.1</v>
      </c>
      <c r="G30" s="8">
        <f t="shared" si="1"/>
        <v>-100</v>
      </c>
      <c r="H30" s="9"/>
    </row>
    <row r="31" spans="1:8" ht="24">
      <c r="A31" s="11">
        <v>3110</v>
      </c>
      <c r="B31" s="12" t="s">
        <v>31</v>
      </c>
      <c r="C31" s="7">
        <v>492.1</v>
      </c>
      <c r="D31" s="7"/>
      <c r="E31" s="17"/>
      <c r="F31" s="8">
        <f t="shared" si="0"/>
        <v>-492.1</v>
      </c>
      <c r="G31" s="8">
        <f t="shared" si="1"/>
        <v>-100</v>
      </c>
      <c r="H31" s="15"/>
    </row>
    <row r="32" spans="1:8" ht="17.25" customHeight="1">
      <c r="A32" s="11">
        <v>3130</v>
      </c>
      <c r="B32" s="12" t="s">
        <v>32</v>
      </c>
      <c r="C32" s="7"/>
      <c r="D32" s="7"/>
      <c r="E32" s="13"/>
      <c r="F32" s="8">
        <f t="shared" si="0"/>
        <v>0</v>
      </c>
      <c r="G32" s="8">
        <f t="shared" si="1"/>
        <v>0</v>
      </c>
      <c r="H32" s="15"/>
    </row>
    <row r="33" spans="1:8" ht="17.25" customHeight="1">
      <c r="A33" s="11">
        <v>3140</v>
      </c>
      <c r="B33" s="12" t="s">
        <v>33</v>
      </c>
      <c r="C33" s="7"/>
      <c r="D33" s="7"/>
      <c r="E33" s="17"/>
      <c r="F33" s="8">
        <f t="shared" si="0"/>
        <v>0</v>
      </c>
      <c r="G33" s="8">
        <f t="shared" si="1"/>
        <v>0</v>
      </c>
      <c r="H33" s="15"/>
    </row>
    <row r="34" spans="1:8" ht="24">
      <c r="A34" s="11">
        <v>3210</v>
      </c>
      <c r="B34" s="12" t="s">
        <v>34</v>
      </c>
      <c r="C34" s="7"/>
      <c r="D34" s="7"/>
      <c r="E34" s="17"/>
      <c r="F34" s="8">
        <f t="shared" si="0"/>
        <v>0</v>
      </c>
      <c r="G34" s="8">
        <f t="shared" si="1"/>
        <v>0</v>
      </c>
      <c r="H34" s="15"/>
    </row>
    <row r="35" spans="1:8" s="32" customFormat="1" ht="51.75" customHeight="1">
      <c r="A35" s="19" t="s">
        <v>28</v>
      </c>
      <c r="B35" s="31" t="s">
        <v>35</v>
      </c>
      <c r="C35" s="23">
        <f>C30</f>
        <v>492.1</v>
      </c>
      <c r="D35" s="23">
        <f>D30</f>
        <v>0</v>
      </c>
      <c r="E35" s="23">
        <f>E30</f>
        <v>0</v>
      </c>
      <c r="F35" s="21">
        <f t="shared" si="0"/>
        <v>-492.1</v>
      </c>
      <c r="G35" s="21">
        <f t="shared" si="1"/>
        <v>-100</v>
      </c>
      <c r="H35" s="24"/>
    </row>
    <row r="36" spans="1:8" s="33" customFormat="1" ht="42" customHeight="1">
      <c r="A36" s="115" t="s">
        <v>36</v>
      </c>
      <c r="B36" s="115"/>
      <c r="C36" s="25">
        <f>C29+C35</f>
        <v>1891.5</v>
      </c>
      <c r="D36" s="25">
        <f>D29+D35</f>
        <v>15.800000000000002</v>
      </c>
      <c r="E36" s="25">
        <f>E29+E35</f>
        <v>1547.1</v>
      </c>
      <c r="F36" s="21">
        <f t="shared" si="0"/>
        <v>-328.60000000000014</v>
      </c>
      <c r="G36" s="21">
        <f t="shared" si="1"/>
        <v>-17.518792983952665</v>
      </c>
      <c r="H36" s="26"/>
    </row>
    <row r="37" spans="1:7" ht="10.5" customHeight="1">
      <c r="A37" s="27"/>
      <c r="B37" s="27"/>
      <c r="C37" s="27"/>
      <c r="D37" s="27"/>
      <c r="E37" s="28"/>
      <c r="F37" s="28"/>
      <c r="G37" s="28"/>
    </row>
    <row r="39" spans="1:8" ht="12.75">
      <c r="A39" s="114" t="s">
        <v>37</v>
      </c>
      <c r="B39" s="114"/>
      <c r="C39" s="114"/>
      <c r="D39" s="114"/>
      <c r="E39" s="114"/>
      <c r="F39" s="114"/>
      <c r="G39" s="114"/>
      <c r="H39" s="114"/>
    </row>
    <row r="41" ht="12.75">
      <c r="E41" s="29"/>
    </row>
    <row r="42" ht="12.75">
      <c r="E42" s="29"/>
    </row>
    <row r="43" spans="1:8" ht="42.75" customHeight="1">
      <c r="A43" s="110"/>
      <c r="B43" s="110"/>
      <c r="C43" s="110"/>
      <c r="D43" s="110"/>
      <c r="E43" s="110"/>
      <c r="F43" s="110"/>
      <c r="G43" s="110"/>
      <c r="H43" s="110"/>
    </row>
  </sheetData>
  <sheetProtection/>
  <mergeCells count="12">
    <mergeCell ref="B6:B7"/>
    <mergeCell ref="C6:C7"/>
    <mergeCell ref="A43:H43"/>
    <mergeCell ref="A2:H2"/>
    <mergeCell ref="A3:H3"/>
    <mergeCell ref="A4:H4"/>
    <mergeCell ref="A39:H39"/>
    <mergeCell ref="A36:B36"/>
    <mergeCell ref="H6:H7"/>
    <mergeCell ref="E6:E7"/>
    <mergeCell ref="F6:G6"/>
    <mergeCell ref="A6:A7"/>
  </mergeCells>
  <printOptions horizontalCentered="1"/>
  <pageMargins left="0.24" right="0.15748031496062992" top="0.49" bottom="0.3937007874015748" header="0.29" footer="0.3937007874015748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H266"/>
  <sheetViews>
    <sheetView view="pageBreakPreview" zoomScaleSheetLayoutView="100" zoomScalePageLayoutView="0" workbookViewId="0" topLeftCell="A12">
      <selection activeCell="I28" sqref="I28"/>
    </sheetView>
  </sheetViews>
  <sheetFormatPr defaultColWidth="10.66015625" defaultRowHeight="12.75"/>
  <cols>
    <col min="1" max="1" width="18.5" style="37" customWidth="1"/>
    <col min="2" max="2" width="9.16015625" style="37" customWidth="1"/>
    <col min="3" max="3" width="9.5" style="37" customWidth="1"/>
    <col min="4" max="4" width="13.16015625" style="37" customWidth="1"/>
    <col min="5" max="5" width="13.5" style="37" customWidth="1"/>
    <col min="6" max="6" width="13.83203125" style="37" customWidth="1"/>
    <col min="7" max="7" width="3.83203125" style="37" hidden="1" customWidth="1"/>
    <col min="8" max="8" width="11.33203125" style="37" customWidth="1"/>
    <col min="9" max="9" width="9.83203125" style="37" customWidth="1"/>
    <col min="10" max="10" width="13" style="37" customWidth="1"/>
    <col min="11" max="11" width="0" style="38" hidden="1" customWidth="1"/>
    <col min="12" max="12" width="11" style="38" hidden="1" customWidth="1"/>
    <col min="13" max="16" width="0" style="38" hidden="1" customWidth="1"/>
    <col min="17" max="17" width="15.33203125" style="39" hidden="1" customWidth="1"/>
    <col min="18" max="18" width="0" style="39" hidden="1" customWidth="1"/>
    <col min="19" max="20" width="0" style="38" hidden="1" customWidth="1"/>
    <col min="21" max="16384" width="10.66015625" style="38" customWidth="1"/>
  </cols>
  <sheetData>
    <row r="1" ht="12.75" hidden="1"/>
    <row r="2" ht="12.75" hidden="1"/>
    <row r="3" ht="1.5" customHeight="1" hidden="1"/>
    <row r="4" ht="24.75" customHeight="1" hidden="1"/>
    <row r="5" ht="12.75" hidden="1"/>
    <row r="6" spans="1:10" ht="18.75" hidden="1">
      <c r="A6" s="179" t="s">
        <v>50</v>
      </c>
      <c r="B6" s="179"/>
      <c r="C6" s="179"/>
      <c r="D6" s="179"/>
      <c r="E6" s="179"/>
      <c r="F6" s="179"/>
      <c r="G6" s="179"/>
      <c r="H6" s="179"/>
      <c r="I6" s="179"/>
      <c r="J6" s="179"/>
    </row>
    <row r="7" spans="1:10" ht="20.25" customHeight="1" hidden="1">
      <c r="A7" s="179" t="s">
        <v>51</v>
      </c>
      <c r="B7" s="179"/>
      <c r="C7" s="179"/>
      <c r="D7" s="179"/>
      <c r="E7" s="179"/>
      <c r="F7" s="179"/>
      <c r="G7" s="179"/>
      <c r="H7" s="179"/>
      <c r="I7" s="179"/>
      <c r="J7" s="179"/>
    </row>
    <row r="8" spans="1:10" ht="18.75" hidden="1">
      <c r="A8" s="179" t="s">
        <v>52</v>
      </c>
      <c r="B8" s="179"/>
      <c r="C8" s="179"/>
      <c r="D8" s="179"/>
      <c r="E8" s="179"/>
      <c r="F8" s="179"/>
      <c r="G8" s="179"/>
      <c r="H8" s="179"/>
      <c r="I8" s="179"/>
      <c r="J8" s="179"/>
    </row>
    <row r="9" spans="1:10" ht="18.75" hidden="1">
      <c r="A9" s="180" t="s">
        <v>53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19.5" hidden="1" thickBot="1">
      <c r="A10" s="173" t="s">
        <v>54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ht="12.75" hidden="1">
      <c r="A11" s="174" t="s">
        <v>55</v>
      </c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8" s="43" customFormat="1" ht="14.25" customHeight="1">
      <c r="A12" s="42"/>
      <c r="B12" s="37"/>
      <c r="C12" s="37"/>
      <c r="D12" s="37"/>
      <c r="E12" s="37"/>
      <c r="F12" s="37"/>
      <c r="G12" s="37"/>
      <c r="H12" s="37"/>
      <c r="I12" s="37"/>
      <c r="J12" s="37"/>
      <c r="Q12" s="44"/>
      <c r="R12" s="44"/>
    </row>
    <row r="13" spans="1:18" s="43" customFormat="1" ht="20.25">
      <c r="A13" s="156" t="s">
        <v>56</v>
      </c>
      <c r="B13" s="156"/>
      <c r="C13" s="156"/>
      <c r="D13" s="156"/>
      <c r="E13" s="156"/>
      <c r="F13" s="156"/>
      <c r="G13" s="156"/>
      <c r="H13" s="156"/>
      <c r="I13" s="156"/>
      <c r="J13" s="156"/>
      <c r="Q13" s="44"/>
      <c r="R13" s="44"/>
    </row>
    <row r="14" spans="1:18" s="43" customFormat="1" ht="21" customHeight="1">
      <c r="A14" s="157" t="s">
        <v>57</v>
      </c>
      <c r="B14" s="157"/>
      <c r="C14" s="157"/>
      <c r="D14" s="157"/>
      <c r="E14" s="157"/>
      <c r="F14" s="157"/>
      <c r="G14" s="157"/>
      <c r="H14" s="157"/>
      <c r="I14" s="157"/>
      <c r="J14" s="157"/>
      <c r="Q14" s="44"/>
      <c r="R14" s="44"/>
    </row>
    <row r="15" spans="1:18" s="43" customFormat="1" ht="21" customHeight="1">
      <c r="A15" s="159" t="s">
        <v>58</v>
      </c>
      <c r="B15" s="159"/>
      <c r="C15" s="159"/>
      <c r="D15" s="159"/>
      <c r="E15" s="159"/>
      <c r="F15" s="159"/>
      <c r="G15" s="159"/>
      <c r="H15" s="159"/>
      <c r="I15" s="159"/>
      <c r="J15" s="159"/>
      <c r="Q15" s="44"/>
      <c r="R15" s="44"/>
    </row>
    <row r="16" spans="1:18" s="43" customFormat="1" ht="18.75" customHeight="1">
      <c r="A16" s="169" t="s">
        <v>59</v>
      </c>
      <c r="B16" s="170"/>
      <c r="C16" s="171" t="s">
        <v>60</v>
      </c>
      <c r="D16" s="171"/>
      <c r="E16" s="171"/>
      <c r="F16" s="171"/>
      <c r="G16" s="45"/>
      <c r="H16" s="158">
        <f>I18+I24+I26+I47+I86+I91+I101+I81</f>
        <v>1547100</v>
      </c>
      <c r="I16" s="158"/>
      <c r="J16" s="158"/>
      <c r="Q16" s="44"/>
      <c r="R16" s="44"/>
    </row>
    <row r="17" spans="1:18" s="43" customFormat="1" ht="12" customHeight="1">
      <c r="A17" s="46"/>
      <c r="B17" s="37"/>
      <c r="C17" s="37"/>
      <c r="D17" s="37"/>
      <c r="E17" s="37"/>
      <c r="F17" s="37"/>
      <c r="G17" s="37"/>
      <c r="H17" s="37"/>
      <c r="I17" s="37"/>
      <c r="J17" s="37"/>
      <c r="Q17" s="44"/>
      <c r="R17" s="44"/>
    </row>
    <row r="18" spans="1:18" s="43" customFormat="1" ht="20.25" customHeight="1">
      <c r="A18" s="47" t="s">
        <v>61</v>
      </c>
      <c r="B18" s="138" t="str">
        <f>'[1]2013-2.2'!$B$10</f>
        <v>Оплата праці</v>
      </c>
      <c r="C18" s="138"/>
      <c r="D18" s="138"/>
      <c r="E18" s="138"/>
      <c r="F18" s="138"/>
      <c r="G18" s="138"/>
      <c r="H18" s="138"/>
      <c r="I18" s="120">
        <f>J22</f>
        <v>962800</v>
      </c>
      <c r="J18" s="120"/>
      <c r="Q18" s="44"/>
      <c r="R18" s="44"/>
    </row>
    <row r="19" spans="1:18" s="43" customFormat="1" ht="9.75" customHeight="1" thickBot="1">
      <c r="A19" s="48"/>
      <c r="B19" s="37"/>
      <c r="C19" s="37"/>
      <c r="D19" s="37"/>
      <c r="E19" s="37"/>
      <c r="F19" s="37"/>
      <c r="G19" s="37"/>
      <c r="H19" s="37"/>
      <c r="I19" s="37"/>
      <c r="J19" s="37"/>
      <c r="Q19" s="44"/>
      <c r="R19" s="44"/>
    </row>
    <row r="20" spans="1:18" s="43" customFormat="1" ht="12.75" customHeight="1">
      <c r="A20" s="154" t="s">
        <v>62</v>
      </c>
      <c r="B20" s="154" t="s">
        <v>63</v>
      </c>
      <c r="C20" s="152" t="s">
        <v>64</v>
      </c>
      <c r="D20" s="152" t="s">
        <v>65</v>
      </c>
      <c r="E20" s="152" t="s">
        <v>66</v>
      </c>
      <c r="F20" s="152" t="s">
        <v>67</v>
      </c>
      <c r="G20" s="152" t="s">
        <v>68</v>
      </c>
      <c r="H20" s="154" t="s">
        <v>69</v>
      </c>
      <c r="I20" s="167" t="s">
        <v>70</v>
      </c>
      <c r="J20" s="154" t="s">
        <v>71</v>
      </c>
      <c r="Q20" s="44"/>
      <c r="R20" s="44"/>
    </row>
    <row r="21" spans="1:18" s="43" customFormat="1" ht="53.25" customHeight="1" thickBot="1">
      <c r="A21" s="155"/>
      <c r="B21" s="155"/>
      <c r="C21" s="153"/>
      <c r="D21" s="153"/>
      <c r="E21" s="153"/>
      <c r="F21" s="153"/>
      <c r="G21" s="153"/>
      <c r="H21" s="155"/>
      <c r="I21" s="168"/>
      <c r="J21" s="155"/>
      <c r="Q21" s="44"/>
      <c r="R21" s="44"/>
    </row>
    <row r="22" spans="1:18" s="43" customFormat="1" ht="26.25" customHeight="1" thickBot="1">
      <c r="A22" s="49">
        <v>15</v>
      </c>
      <c r="B22" s="49">
        <v>695500</v>
      </c>
      <c r="C22" s="49">
        <v>16200</v>
      </c>
      <c r="D22" s="49">
        <v>64500</v>
      </c>
      <c r="E22" s="49">
        <v>12000</v>
      </c>
      <c r="F22" s="49">
        <v>116600</v>
      </c>
      <c r="G22" s="49"/>
      <c r="H22" s="49"/>
      <c r="I22" s="49">
        <v>58000</v>
      </c>
      <c r="J22" s="50">
        <f>SUM(B22:I22)</f>
        <v>962800</v>
      </c>
      <c r="K22" s="51">
        <f>B22</f>
        <v>695500</v>
      </c>
      <c r="L22" s="43">
        <f>ROUND(K22*1.22/1000,1)</f>
        <v>848.5</v>
      </c>
      <c r="Q22" s="44"/>
      <c r="R22" s="44"/>
    </row>
    <row r="23" spans="1:18" s="43" customFormat="1" ht="15.75" customHeight="1">
      <c r="A23" s="48"/>
      <c r="B23" s="37"/>
      <c r="C23" s="37"/>
      <c r="D23" s="37"/>
      <c r="E23" s="37"/>
      <c r="F23" s="52"/>
      <c r="G23" s="37"/>
      <c r="H23" s="52"/>
      <c r="I23" s="37"/>
      <c r="J23" s="37"/>
      <c r="K23" s="51">
        <f>C22+D22+E22+F22</f>
        <v>209300</v>
      </c>
      <c r="L23" s="43">
        <f>ROUND(K23*1.22/1000,1)</f>
        <v>255.3</v>
      </c>
      <c r="Q23" s="44"/>
      <c r="R23" s="44"/>
    </row>
    <row r="24" spans="1:18" s="43" customFormat="1" ht="18.75" customHeight="1">
      <c r="A24" s="53" t="s">
        <v>72</v>
      </c>
      <c r="B24" s="139" t="s">
        <v>73</v>
      </c>
      <c r="C24" s="140"/>
      <c r="D24" s="140"/>
      <c r="E24" s="140"/>
      <c r="F24" s="140"/>
      <c r="G24" s="140"/>
      <c r="H24" s="141"/>
      <c r="I24" s="120">
        <f>'[2]01.01.19 р.'!$E$57</f>
        <v>211800</v>
      </c>
      <c r="J24" s="120"/>
      <c r="K24" s="51">
        <f>I22</f>
        <v>58000</v>
      </c>
      <c r="L24" s="43">
        <f>ROUND(K24*1.22/1000,1)</f>
        <v>70.8</v>
      </c>
      <c r="Q24" s="44"/>
      <c r="R24" s="44"/>
    </row>
    <row r="25" spans="1:18" s="43" customFormat="1" ht="27.75" customHeight="1">
      <c r="A25" s="54"/>
      <c r="B25" s="55"/>
      <c r="C25" s="56"/>
      <c r="D25" s="37"/>
      <c r="E25" s="37"/>
      <c r="F25" s="37"/>
      <c r="G25" s="37"/>
      <c r="H25" s="37"/>
      <c r="I25" s="37"/>
      <c r="J25" s="37"/>
      <c r="L25" s="43">
        <f>SUM(L22:L24)</f>
        <v>1174.6</v>
      </c>
      <c r="Q25" s="57">
        <f>I24+I18</f>
        <v>1174600</v>
      </c>
      <c r="R25" s="44"/>
    </row>
    <row r="26" spans="1:18" s="43" customFormat="1" ht="18.75">
      <c r="A26" s="47" t="s">
        <v>74</v>
      </c>
      <c r="B26" s="138" t="str">
        <f>'[1]2013-2.2'!$B$13</f>
        <v>Предмети, матеріали, обладнання та інвентар</v>
      </c>
      <c r="C26" s="138"/>
      <c r="D26" s="138"/>
      <c r="E26" s="138"/>
      <c r="F26" s="138"/>
      <c r="G26" s="138"/>
      <c r="H26" s="138"/>
      <c r="I26" s="120">
        <f>SUM(J29:J45)</f>
        <v>186000</v>
      </c>
      <c r="J26" s="120"/>
      <c r="Q26" s="44"/>
      <c r="R26" s="44"/>
    </row>
    <row r="27" spans="1:18" s="43" customFormat="1" ht="24.75" customHeight="1">
      <c r="A27" s="58"/>
      <c r="B27" s="37"/>
      <c r="C27" s="37"/>
      <c r="D27" s="37"/>
      <c r="E27" s="37"/>
      <c r="F27" s="37"/>
      <c r="G27" s="37"/>
      <c r="H27" s="37"/>
      <c r="I27" s="37"/>
      <c r="J27" s="37"/>
      <c r="Q27" s="44"/>
      <c r="R27" s="44"/>
    </row>
    <row r="28" spans="1:18" s="43" customFormat="1" ht="49.5" customHeight="1">
      <c r="A28" s="151" t="s">
        <v>75</v>
      </c>
      <c r="B28" s="151"/>
      <c r="C28" s="151"/>
      <c r="D28" s="151"/>
      <c r="E28" s="151"/>
      <c r="F28" s="151"/>
      <c r="G28" s="35" t="s">
        <v>76</v>
      </c>
      <c r="H28" s="35" t="s">
        <v>77</v>
      </c>
      <c r="I28" s="35" t="s">
        <v>78</v>
      </c>
      <c r="J28" s="35" t="s">
        <v>79</v>
      </c>
      <c r="Q28" s="44"/>
      <c r="R28" s="44"/>
    </row>
    <row r="29" spans="1:18" s="43" customFormat="1" ht="28.5" customHeight="1">
      <c r="A29" s="119" t="s">
        <v>80</v>
      </c>
      <c r="B29" s="119"/>
      <c r="C29" s="119"/>
      <c r="D29" s="119"/>
      <c r="E29" s="119"/>
      <c r="F29" s="119"/>
      <c r="G29" s="35"/>
      <c r="H29" s="35" t="s">
        <v>81</v>
      </c>
      <c r="I29" s="35" t="s">
        <v>81</v>
      </c>
      <c r="J29" s="59">
        <v>8500</v>
      </c>
      <c r="K29" s="43">
        <f>J29+J30+J31+J32+J34+J35+J36+J45</f>
        <v>44000</v>
      </c>
      <c r="L29" s="43">
        <f>K29/3</f>
        <v>14666.666666666666</v>
      </c>
      <c r="Q29" s="44">
        <v>11.7</v>
      </c>
      <c r="R29" s="44"/>
    </row>
    <row r="30" spans="1:18" s="43" customFormat="1" ht="33.75" customHeight="1">
      <c r="A30" s="119" t="s">
        <v>82</v>
      </c>
      <c r="B30" s="119"/>
      <c r="C30" s="119"/>
      <c r="D30" s="119"/>
      <c r="E30" s="119"/>
      <c r="F30" s="119"/>
      <c r="G30" s="35"/>
      <c r="H30" s="35" t="s">
        <v>81</v>
      </c>
      <c r="I30" s="35" t="s">
        <v>81</v>
      </c>
      <c r="J30" s="59">
        <v>2500</v>
      </c>
      <c r="L30" s="43">
        <f>L29+J41</f>
        <v>84666.66666666667</v>
      </c>
      <c r="Q30" s="44">
        <v>106.6</v>
      </c>
      <c r="R30" s="44"/>
    </row>
    <row r="31" spans="1:18" s="43" customFormat="1" ht="21.75" customHeight="1">
      <c r="A31" s="119" t="s">
        <v>83</v>
      </c>
      <c r="B31" s="119"/>
      <c r="C31" s="119"/>
      <c r="D31" s="119"/>
      <c r="E31" s="119"/>
      <c r="F31" s="119"/>
      <c r="G31" s="35"/>
      <c r="H31" s="35">
        <v>60</v>
      </c>
      <c r="I31" s="35">
        <v>100</v>
      </c>
      <c r="J31" s="59">
        <f>H31*I31</f>
        <v>6000</v>
      </c>
      <c r="L31" s="43">
        <f>L29+J42</f>
        <v>74666.66666666667</v>
      </c>
      <c r="Q31" s="44">
        <v>76.7</v>
      </c>
      <c r="R31" s="44"/>
    </row>
    <row r="32" spans="1:18" s="43" customFormat="1" ht="21.75" customHeight="1">
      <c r="A32" s="119" t="s">
        <v>84</v>
      </c>
      <c r="B32" s="119"/>
      <c r="C32" s="119"/>
      <c r="D32" s="119"/>
      <c r="E32" s="119"/>
      <c r="F32" s="119"/>
      <c r="G32" s="35"/>
      <c r="H32" s="35" t="s">
        <v>81</v>
      </c>
      <c r="I32" s="35" t="s">
        <v>81</v>
      </c>
      <c r="J32" s="59">
        <v>12000</v>
      </c>
      <c r="L32" s="43">
        <f aca="true" t="shared" si="0" ref="L32:Q32">L31+L30+L29</f>
        <v>174000</v>
      </c>
      <c r="M32" s="43">
        <f t="shared" si="0"/>
        <v>0</v>
      </c>
      <c r="N32" s="43">
        <f t="shared" si="0"/>
        <v>0</v>
      </c>
      <c r="O32" s="43">
        <f t="shared" si="0"/>
        <v>0</v>
      </c>
      <c r="P32" s="43">
        <f t="shared" si="0"/>
        <v>0</v>
      </c>
      <c r="Q32" s="44">
        <f t="shared" si="0"/>
        <v>195</v>
      </c>
      <c r="R32" s="44"/>
    </row>
    <row r="33" spans="1:18" s="43" customFormat="1" ht="21.75" customHeight="1">
      <c r="A33" s="119" t="s">
        <v>85</v>
      </c>
      <c r="B33" s="119"/>
      <c r="C33" s="119"/>
      <c r="D33" s="119"/>
      <c r="E33" s="119"/>
      <c r="F33" s="119"/>
      <c r="G33" s="35"/>
      <c r="H33" s="35">
        <v>2</v>
      </c>
      <c r="I33" s="35">
        <v>6000</v>
      </c>
      <c r="J33" s="59">
        <f>I33*H33</f>
        <v>12000</v>
      </c>
      <c r="Q33" s="44"/>
      <c r="R33" s="44"/>
    </row>
    <row r="34" spans="1:18" s="43" customFormat="1" ht="21.75" customHeight="1">
      <c r="A34" s="119" t="s">
        <v>86</v>
      </c>
      <c r="B34" s="119"/>
      <c r="C34" s="119"/>
      <c r="D34" s="119"/>
      <c r="E34" s="119"/>
      <c r="F34" s="119"/>
      <c r="G34" s="35"/>
      <c r="H34" s="35">
        <v>3</v>
      </c>
      <c r="I34" s="35">
        <v>2000</v>
      </c>
      <c r="J34" s="59">
        <f>H34*I34</f>
        <v>6000</v>
      </c>
      <c r="Q34" s="44"/>
      <c r="R34" s="44"/>
    </row>
    <row r="35" spans="1:18" s="43" customFormat="1" ht="21.75" customHeight="1" hidden="1">
      <c r="A35" s="119"/>
      <c r="B35" s="119"/>
      <c r="C35" s="119"/>
      <c r="D35" s="119"/>
      <c r="E35" s="119"/>
      <c r="F35" s="119"/>
      <c r="G35" s="35"/>
      <c r="H35" s="35">
        <v>1</v>
      </c>
      <c r="I35" s="35"/>
      <c r="J35" s="59">
        <f>H35*I35</f>
        <v>0</v>
      </c>
      <c r="Q35" s="44"/>
      <c r="R35" s="44"/>
    </row>
    <row r="36" spans="1:18" s="43" customFormat="1" ht="21.75" customHeight="1" hidden="1">
      <c r="A36" s="119"/>
      <c r="B36" s="119"/>
      <c r="C36" s="119"/>
      <c r="D36" s="119"/>
      <c r="E36" s="119"/>
      <c r="F36" s="119"/>
      <c r="G36" s="35"/>
      <c r="H36" s="35">
        <v>1</v>
      </c>
      <c r="I36" s="35"/>
      <c r="J36" s="59">
        <f>H36*I36</f>
        <v>0</v>
      </c>
      <c r="Q36" s="44"/>
      <c r="R36" s="44"/>
    </row>
    <row r="37" spans="1:18" s="43" customFormat="1" ht="28.5" customHeight="1" hidden="1">
      <c r="A37" s="119"/>
      <c r="B37" s="119"/>
      <c r="C37" s="119"/>
      <c r="D37" s="119"/>
      <c r="E37" s="119"/>
      <c r="F37" s="119"/>
      <c r="G37" s="35"/>
      <c r="H37" s="35"/>
      <c r="I37" s="35"/>
      <c r="J37" s="59"/>
      <c r="Q37" s="44"/>
      <c r="R37" s="44"/>
    </row>
    <row r="38" spans="1:18" s="43" customFormat="1" ht="28.5" customHeight="1" hidden="1">
      <c r="A38" s="119"/>
      <c r="B38" s="119"/>
      <c r="C38" s="119"/>
      <c r="D38" s="119"/>
      <c r="E38" s="119"/>
      <c r="F38" s="119"/>
      <c r="G38" s="35"/>
      <c r="H38" s="35"/>
      <c r="I38" s="35"/>
      <c r="J38" s="59"/>
      <c r="Q38" s="44"/>
      <c r="R38" s="44"/>
    </row>
    <row r="39" spans="1:18" s="43" customFormat="1" ht="28.5" customHeight="1" hidden="1">
      <c r="A39" s="119"/>
      <c r="B39" s="119"/>
      <c r="C39" s="119"/>
      <c r="D39" s="119"/>
      <c r="E39" s="119"/>
      <c r="F39" s="119"/>
      <c r="G39" s="35"/>
      <c r="H39" s="35"/>
      <c r="I39" s="35"/>
      <c r="J39" s="59"/>
      <c r="Q39" s="44"/>
      <c r="R39" s="44"/>
    </row>
    <row r="40" spans="1:18" s="43" customFormat="1" ht="28.5" customHeight="1" hidden="1">
      <c r="A40" s="119"/>
      <c r="B40" s="119"/>
      <c r="C40" s="119"/>
      <c r="D40" s="119"/>
      <c r="E40" s="119"/>
      <c r="F40" s="119"/>
      <c r="G40" s="35"/>
      <c r="H40" s="35"/>
      <c r="I40" s="35"/>
      <c r="J40" s="59"/>
      <c r="Q40" s="44"/>
      <c r="R40" s="44"/>
    </row>
    <row r="41" spans="1:18" s="43" customFormat="1" ht="28.5" customHeight="1">
      <c r="A41" s="119" t="s">
        <v>87</v>
      </c>
      <c r="B41" s="119"/>
      <c r="C41" s="119"/>
      <c r="D41" s="119"/>
      <c r="E41" s="119"/>
      <c r="F41" s="119"/>
      <c r="G41" s="35"/>
      <c r="H41" s="35">
        <v>500</v>
      </c>
      <c r="I41" s="35">
        <v>140</v>
      </c>
      <c r="J41" s="59">
        <f>I41*H41</f>
        <v>70000</v>
      </c>
      <c r="Q41" s="44"/>
      <c r="R41" s="44"/>
    </row>
    <row r="42" spans="1:18" s="43" customFormat="1" ht="28.5" customHeight="1">
      <c r="A42" s="119" t="s">
        <v>88</v>
      </c>
      <c r="B42" s="119"/>
      <c r="C42" s="119"/>
      <c r="D42" s="119"/>
      <c r="E42" s="119"/>
      <c r="F42" s="119"/>
      <c r="G42" s="35"/>
      <c r="H42" s="35">
        <v>500</v>
      </c>
      <c r="I42" s="35">
        <v>120</v>
      </c>
      <c r="J42" s="59">
        <f>I42*H42</f>
        <v>60000</v>
      </c>
      <c r="Q42" s="44"/>
      <c r="R42" s="44"/>
    </row>
    <row r="43" spans="1:18" s="43" customFormat="1" ht="28.5" customHeight="1">
      <c r="A43" s="119" t="s">
        <v>89</v>
      </c>
      <c r="B43" s="119"/>
      <c r="C43" s="119"/>
      <c r="D43" s="119"/>
      <c r="E43" s="119"/>
      <c r="F43" s="119"/>
      <c r="G43" s="35"/>
      <c r="H43" s="35"/>
      <c r="I43" s="35">
        <v>135</v>
      </c>
      <c r="J43" s="59">
        <f>I43*H43</f>
        <v>0</v>
      </c>
      <c r="Q43" s="44"/>
      <c r="R43" s="44"/>
    </row>
    <row r="44" spans="1:18" s="43" customFormat="1" ht="21" customHeight="1">
      <c r="A44" s="119" t="s">
        <v>90</v>
      </c>
      <c r="B44" s="119"/>
      <c r="C44" s="119"/>
      <c r="D44" s="119"/>
      <c r="E44" s="119"/>
      <c r="F44" s="119"/>
      <c r="G44" s="35"/>
      <c r="H44" s="35"/>
      <c r="I44" s="35">
        <v>700</v>
      </c>
      <c r="J44" s="59">
        <f>I44*H44</f>
        <v>0</v>
      </c>
      <c r="Q44" s="44"/>
      <c r="R44" s="44"/>
    </row>
    <row r="45" spans="1:18" s="43" customFormat="1" ht="28.5" customHeight="1">
      <c r="A45" s="119" t="s">
        <v>91</v>
      </c>
      <c r="B45" s="119"/>
      <c r="C45" s="119"/>
      <c r="D45" s="119"/>
      <c r="E45" s="119"/>
      <c r="F45" s="119"/>
      <c r="G45" s="35"/>
      <c r="H45" s="35" t="s">
        <v>81</v>
      </c>
      <c r="I45" s="35" t="s">
        <v>81</v>
      </c>
      <c r="J45" s="59">
        <v>9000</v>
      </c>
      <c r="Q45" s="44"/>
      <c r="R45" s="44"/>
    </row>
    <row r="46" spans="1:18" s="43" customFormat="1" ht="15.75">
      <c r="A46" s="60"/>
      <c r="B46" s="60"/>
      <c r="C46" s="60"/>
      <c r="D46" s="60"/>
      <c r="E46" s="60"/>
      <c r="F46" s="60"/>
      <c r="G46" s="61"/>
      <c r="H46" s="62"/>
      <c r="I46" s="62"/>
      <c r="J46" s="63"/>
      <c r="Q46" s="44"/>
      <c r="R46" s="44"/>
    </row>
    <row r="47" spans="1:18" s="43" customFormat="1" ht="18.75">
      <c r="A47" s="47" t="s">
        <v>92</v>
      </c>
      <c r="B47" s="138" t="str">
        <f>'[1]2013-2.2'!$B$16</f>
        <v>Оплата послуг (крім комунальних) </v>
      </c>
      <c r="C47" s="138"/>
      <c r="D47" s="138"/>
      <c r="E47" s="138"/>
      <c r="F47" s="138"/>
      <c r="G47" s="138"/>
      <c r="H47" s="138"/>
      <c r="I47" s="175">
        <f>SUM(J50:J66)</f>
        <v>127000</v>
      </c>
      <c r="J47" s="175"/>
      <c r="Q47" s="44"/>
      <c r="R47" s="44"/>
    </row>
    <row r="48" spans="1:18" s="43" customFormat="1" ht="26.25" customHeight="1">
      <c r="A48" s="64"/>
      <c r="B48" s="37"/>
      <c r="C48" s="37"/>
      <c r="D48" s="37"/>
      <c r="E48" s="37"/>
      <c r="F48" s="37"/>
      <c r="G48" s="37"/>
      <c r="H48" s="37"/>
      <c r="I48" s="37"/>
      <c r="J48" s="37"/>
      <c r="Q48" s="44"/>
      <c r="R48" s="44"/>
    </row>
    <row r="49" spans="1:19" s="43" customFormat="1" ht="31.5">
      <c r="A49" s="125" t="s">
        <v>75</v>
      </c>
      <c r="B49" s="125"/>
      <c r="C49" s="125"/>
      <c r="D49" s="125"/>
      <c r="E49" s="125"/>
      <c r="F49" s="125"/>
      <c r="G49" s="36" t="s">
        <v>76</v>
      </c>
      <c r="H49" s="36" t="s">
        <v>77</v>
      </c>
      <c r="I49" s="36" t="s">
        <v>78</v>
      </c>
      <c r="J49" s="36" t="s">
        <v>79</v>
      </c>
      <c r="Q49" s="44" t="s">
        <v>93</v>
      </c>
      <c r="R49" s="44" t="s">
        <v>94</v>
      </c>
      <c r="S49" s="43" t="s">
        <v>95</v>
      </c>
    </row>
    <row r="50" spans="1:19" s="43" customFormat="1" ht="19.5" customHeight="1">
      <c r="A50" s="118" t="s">
        <v>96</v>
      </c>
      <c r="B50" s="118"/>
      <c r="C50" s="118"/>
      <c r="D50" s="118"/>
      <c r="E50" s="118"/>
      <c r="F50" s="118"/>
      <c r="G50" s="65"/>
      <c r="H50" s="36" t="s">
        <v>81</v>
      </c>
      <c r="I50" s="36" t="s">
        <v>81</v>
      </c>
      <c r="J50" s="66">
        <v>540</v>
      </c>
      <c r="Q50" s="44" t="e">
        <f>J50/2+J51/3+J52/3+J53/3+J54/3+J55/3+J56/3+J57/3+J58/3+#REF!/3+J59/3+J60/3+#REF!/3+J66/3</f>
        <v>#REF!</v>
      </c>
      <c r="R50" s="44" t="e">
        <f>J50/2+J51/3+J52/3+J53/3+J54/3+J55/3+J56/3+J57/3+J58/3+#REF!/3+J59/3+J60/3+#REF!/3+J66/3+J61</f>
        <v>#REF!</v>
      </c>
      <c r="S50" s="43" t="e">
        <f>J51/3+J52/3+J53/3+J54/3+J55/3+J56/3+J57/3+J58/3+#REF!/3+J59/3+J60/3+#REF!/3+J66/3+J62+J64+J65</f>
        <v>#REF!</v>
      </c>
    </row>
    <row r="51" spans="1:18" s="43" customFormat="1" ht="15.75">
      <c r="A51" s="118" t="s">
        <v>97</v>
      </c>
      <c r="B51" s="118"/>
      <c r="C51" s="118"/>
      <c r="D51" s="118"/>
      <c r="E51" s="118"/>
      <c r="F51" s="118"/>
      <c r="G51" s="65"/>
      <c r="H51" s="36">
        <v>20</v>
      </c>
      <c r="I51" s="36">
        <v>140</v>
      </c>
      <c r="J51" s="66">
        <f>I51*H51</f>
        <v>2800</v>
      </c>
      <c r="Q51" s="44"/>
      <c r="R51" s="44"/>
    </row>
    <row r="52" spans="1:18" s="43" customFormat="1" ht="15.75">
      <c r="A52" s="118" t="s">
        <v>98</v>
      </c>
      <c r="B52" s="118"/>
      <c r="C52" s="118"/>
      <c r="D52" s="118"/>
      <c r="E52" s="118"/>
      <c r="F52" s="118"/>
      <c r="G52" s="65"/>
      <c r="H52" s="36" t="s">
        <v>81</v>
      </c>
      <c r="I52" s="36" t="s">
        <v>81</v>
      </c>
      <c r="J52" s="66">
        <v>3000</v>
      </c>
      <c r="Q52" s="44"/>
      <c r="R52" s="44"/>
    </row>
    <row r="53" spans="1:18" s="43" customFormat="1" ht="15.75">
      <c r="A53" s="118" t="s">
        <v>99</v>
      </c>
      <c r="B53" s="118"/>
      <c r="C53" s="118"/>
      <c r="D53" s="118"/>
      <c r="E53" s="118"/>
      <c r="F53" s="118"/>
      <c r="G53" s="65"/>
      <c r="H53" s="36">
        <v>4</v>
      </c>
      <c r="I53" s="36">
        <f>150/2</f>
        <v>75</v>
      </c>
      <c r="J53" s="66">
        <f>I53*H53</f>
        <v>300</v>
      </c>
      <c r="Q53" s="44"/>
      <c r="R53" s="44"/>
    </row>
    <row r="54" spans="1:18" s="43" customFormat="1" ht="19.5" customHeight="1">
      <c r="A54" s="118" t="s">
        <v>100</v>
      </c>
      <c r="B54" s="118"/>
      <c r="C54" s="118"/>
      <c r="D54" s="118"/>
      <c r="E54" s="118"/>
      <c r="F54" s="118"/>
      <c r="G54" s="65"/>
      <c r="H54" s="36">
        <v>12</v>
      </c>
      <c r="I54" s="36">
        <v>185</v>
      </c>
      <c r="J54" s="66">
        <f>I54*H54</f>
        <v>2220</v>
      </c>
      <c r="Q54" s="44"/>
      <c r="R54" s="44"/>
    </row>
    <row r="55" spans="1:18" s="43" customFormat="1" ht="19.5" customHeight="1">
      <c r="A55" s="118" t="s">
        <v>101</v>
      </c>
      <c r="B55" s="118"/>
      <c r="C55" s="118"/>
      <c r="D55" s="118"/>
      <c r="E55" s="118"/>
      <c r="F55" s="118"/>
      <c r="G55" s="65"/>
      <c r="H55" s="36">
        <v>12</v>
      </c>
      <c r="I55" s="36">
        <v>470</v>
      </c>
      <c r="J55" s="66">
        <f>I55*H55</f>
        <v>5640</v>
      </c>
      <c r="Q55" s="44"/>
      <c r="R55" s="44"/>
    </row>
    <row r="56" spans="1:18" s="43" customFormat="1" ht="19.5" customHeight="1">
      <c r="A56" s="118" t="s">
        <v>102</v>
      </c>
      <c r="B56" s="118"/>
      <c r="C56" s="118"/>
      <c r="D56" s="118"/>
      <c r="E56" s="118"/>
      <c r="F56" s="118"/>
      <c r="G56" s="65"/>
      <c r="H56" s="36">
        <v>4</v>
      </c>
      <c r="I56" s="36">
        <v>3000</v>
      </c>
      <c r="J56" s="66">
        <f>I56*H56</f>
        <v>12000</v>
      </c>
      <c r="Q56" s="44"/>
      <c r="R56" s="44"/>
    </row>
    <row r="57" spans="1:18" s="43" customFormat="1" ht="35.25" customHeight="1">
      <c r="A57" s="118" t="s">
        <v>103</v>
      </c>
      <c r="B57" s="118"/>
      <c r="C57" s="118"/>
      <c r="D57" s="118"/>
      <c r="E57" s="118"/>
      <c r="F57" s="118"/>
      <c r="G57" s="65"/>
      <c r="H57" s="36" t="s">
        <v>81</v>
      </c>
      <c r="I57" s="36" t="s">
        <v>81</v>
      </c>
      <c r="J57" s="66">
        <v>1600</v>
      </c>
      <c r="Q57" s="44"/>
      <c r="R57" s="44"/>
    </row>
    <row r="58" spans="1:18" s="43" customFormat="1" ht="15.75">
      <c r="A58" s="118" t="s">
        <v>104</v>
      </c>
      <c r="B58" s="118"/>
      <c r="C58" s="118"/>
      <c r="D58" s="118"/>
      <c r="E58" s="118"/>
      <c r="F58" s="118"/>
      <c r="G58" s="65"/>
      <c r="H58" s="36">
        <v>12</v>
      </c>
      <c r="I58" s="36">
        <v>50</v>
      </c>
      <c r="J58" s="66">
        <f>I58*H58</f>
        <v>600</v>
      </c>
      <c r="Q58" s="44"/>
      <c r="R58" s="44"/>
    </row>
    <row r="59" spans="1:18" s="43" customFormat="1" ht="19.5" customHeight="1">
      <c r="A59" s="118" t="s">
        <v>105</v>
      </c>
      <c r="B59" s="118"/>
      <c r="C59" s="118"/>
      <c r="D59" s="118"/>
      <c r="E59" s="118"/>
      <c r="F59" s="118"/>
      <c r="G59" s="65"/>
      <c r="H59" s="36">
        <v>12</v>
      </c>
      <c r="I59" s="36">
        <f>ROUND(H72+I72,0)</f>
        <v>2120</v>
      </c>
      <c r="J59" s="66">
        <f>ROUND(I59*H59,0)+60</f>
        <v>25500</v>
      </c>
      <c r="Q59" s="44"/>
      <c r="R59" s="44"/>
    </row>
    <row r="60" spans="1:18" s="43" customFormat="1" ht="19.5" customHeight="1">
      <c r="A60" s="118" t="s">
        <v>106</v>
      </c>
      <c r="B60" s="118"/>
      <c r="C60" s="118"/>
      <c r="D60" s="118"/>
      <c r="E60" s="118"/>
      <c r="F60" s="118"/>
      <c r="G60" s="65"/>
      <c r="H60" s="36">
        <v>12</v>
      </c>
      <c r="I60" s="36">
        <v>300</v>
      </c>
      <c r="J60" s="66">
        <f>ROUND(I60*H60,0)</f>
        <v>3600</v>
      </c>
      <c r="Q60" s="44"/>
      <c r="R60" s="44"/>
    </row>
    <row r="61" spans="1:18" s="43" customFormat="1" ht="34.5" customHeight="1">
      <c r="A61" s="122" t="s">
        <v>107</v>
      </c>
      <c r="B61" s="123"/>
      <c r="C61" s="123"/>
      <c r="D61" s="123"/>
      <c r="E61" s="123"/>
      <c r="F61" s="124"/>
      <c r="G61" s="65"/>
      <c r="H61" s="36" t="s">
        <v>81</v>
      </c>
      <c r="I61" s="36" t="s">
        <v>81</v>
      </c>
      <c r="J61" s="66">
        <v>10000</v>
      </c>
      <c r="Q61" s="44"/>
      <c r="R61" s="44"/>
    </row>
    <row r="62" spans="1:18" s="43" customFormat="1" ht="34.5" customHeight="1">
      <c r="A62" s="122" t="s">
        <v>108</v>
      </c>
      <c r="B62" s="123"/>
      <c r="C62" s="123"/>
      <c r="D62" s="123"/>
      <c r="E62" s="123"/>
      <c r="F62" s="124"/>
      <c r="G62" s="65"/>
      <c r="H62" s="36" t="s">
        <v>81</v>
      </c>
      <c r="I62" s="36" t="s">
        <v>81</v>
      </c>
      <c r="J62" s="66">
        <v>10000</v>
      </c>
      <c r="Q62" s="44"/>
      <c r="R62" s="44"/>
    </row>
    <row r="63" spans="1:18" s="43" customFormat="1" ht="15.75">
      <c r="A63" s="122" t="s">
        <v>109</v>
      </c>
      <c r="B63" s="123"/>
      <c r="C63" s="123"/>
      <c r="D63" s="123"/>
      <c r="E63" s="123"/>
      <c r="F63" s="124"/>
      <c r="G63" s="65"/>
      <c r="H63" s="36" t="s">
        <v>81</v>
      </c>
      <c r="I63" s="36" t="s">
        <v>81</v>
      </c>
      <c r="J63" s="66">
        <v>1700</v>
      </c>
      <c r="Q63" s="44"/>
      <c r="R63" s="44"/>
    </row>
    <row r="64" spans="1:18" s="43" customFormat="1" ht="34.5" customHeight="1">
      <c r="A64" s="122" t="s">
        <v>110</v>
      </c>
      <c r="B64" s="123"/>
      <c r="C64" s="123"/>
      <c r="D64" s="123"/>
      <c r="E64" s="123"/>
      <c r="F64" s="124"/>
      <c r="G64" s="65"/>
      <c r="H64" s="36">
        <v>3750</v>
      </c>
      <c r="I64" s="36">
        <v>8</v>
      </c>
      <c r="J64" s="66">
        <f>I64*H64</f>
        <v>30000</v>
      </c>
      <c r="Q64" s="44"/>
      <c r="R64" s="44"/>
    </row>
    <row r="65" spans="1:18" s="43" customFormat="1" ht="15.75">
      <c r="A65" s="122" t="s">
        <v>111</v>
      </c>
      <c r="B65" s="123"/>
      <c r="C65" s="123"/>
      <c r="D65" s="123"/>
      <c r="E65" s="123"/>
      <c r="F65" s="124"/>
      <c r="G65" s="65"/>
      <c r="H65" s="36">
        <v>250</v>
      </c>
      <c r="I65" s="36">
        <v>30</v>
      </c>
      <c r="J65" s="66">
        <f>I65*H65</f>
        <v>7500</v>
      </c>
      <c r="Q65" s="44"/>
      <c r="R65" s="44"/>
    </row>
    <row r="66" spans="1:18" s="43" customFormat="1" ht="35.25" customHeight="1">
      <c r="A66" s="118" t="s">
        <v>112</v>
      </c>
      <c r="B66" s="118"/>
      <c r="C66" s="118"/>
      <c r="D66" s="118"/>
      <c r="E66" s="118"/>
      <c r="F66" s="118"/>
      <c r="G66" s="65"/>
      <c r="H66" s="36" t="s">
        <v>81</v>
      </c>
      <c r="I66" s="36" t="s">
        <v>81</v>
      </c>
      <c r="J66" s="66">
        <v>10000</v>
      </c>
      <c r="Q66" s="44"/>
      <c r="R66" s="44"/>
    </row>
    <row r="67" spans="1:18" s="43" customFormat="1" ht="33.75" customHeight="1">
      <c r="A67" s="172" t="s">
        <v>113</v>
      </c>
      <c r="B67" s="172"/>
      <c r="C67" s="172"/>
      <c r="D67" s="172"/>
      <c r="E67" s="172"/>
      <c r="F67" s="172"/>
      <c r="G67" s="172"/>
      <c r="H67" s="172"/>
      <c r="I67" s="172"/>
      <c r="J67" s="172"/>
      <c r="Q67" s="44"/>
      <c r="R67" s="44"/>
    </row>
    <row r="68" spans="1:18" s="43" customFormat="1" ht="51">
      <c r="A68" s="67" t="s">
        <v>75</v>
      </c>
      <c r="B68" s="67" t="s">
        <v>114</v>
      </c>
      <c r="C68" s="67" t="s">
        <v>115</v>
      </c>
      <c r="D68" s="67" t="s">
        <v>8</v>
      </c>
      <c r="E68" s="67" t="s">
        <v>116</v>
      </c>
      <c r="F68" s="67" t="s">
        <v>117</v>
      </c>
      <c r="G68" s="67"/>
      <c r="H68" s="67" t="s">
        <v>118</v>
      </c>
      <c r="I68" s="67" t="s">
        <v>119</v>
      </c>
      <c r="J68" s="67" t="s">
        <v>120</v>
      </c>
      <c r="Q68" s="44"/>
      <c r="R68" s="44"/>
    </row>
    <row r="69" spans="1:18" s="43" customFormat="1" ht="15.75">
      <c r="A69" s="68" t="s">
        <v>121</v>
      </c>
      <c r="B69" s="40">
        <v>4</v>
      </c>
      <c r="C69" s="40">
        <v>4510</v>
      </c>
      <c r="D69" s="40">
        <f>C69*0.22</f>
        <v>992.2</v>
      </c>
      <c r="E69" s="40">
        <v>2733.4</v>
      </c>
      <c r="F69" s="40">
        <v>149.8</v>
      </c>
      <c r="G69" s="65"/>
      <c r="H69" s="36">
        <f>F69*B69*(C69+D69)/E69</f>
        <v>1206.1601814589887</v>
      </c>
      <c r="I69" s="36">
        <f>H69*0.2</f>
        <v>241.23203629179775</v>
      </c>
      <c r="J69" s="66">
        <f>ROUND(ROUND((H69+I69)*12,0)/100,0)*100</f>
        <v>17400</v>
      </c>
      <c r="Q69" s="44"/>
      <c r="R69" s="44"/>
    </row>
    <row r="70" spans="1:18" s="43" customFormat="1" ht="15.75">
      <c r="A70" s="68" t="s">
        <v>122</v>
      </c>
      <c r="B70" s="40">
        <v>1</v>
      </c>
      <c r="C70" s="40">
        <v>481</v>
      </c>
      <c r="D70" s="40">
        <f>C70*0.22</f>
        <v>105.82000000000001</v>
      </c>
      <c r="E70" s="40">
        <v>2733.4</v>
      </c>
      <c r="F70" s="40">
        <v>149.8</v>
      </c>
      <c r="G70" s="65"/>
      <c r="H70" s="69">
        <f>F70*B70*(C70+D70)/E70</f>
        <v>32.159814150874375</v>
      </c>
      <c r="I70" s="69">
        <f>H70*0.2</f>
        <v>6.431962830174875</v>
      </c>
      <c r="J70" s="66">
        <f>ROUND(ROUND((H70+I70)*12,0)/100,0)*100</f>
        <v>500</v>
      </c>
      <c r="Q70" s="44"/>
      <c r="R70" s="44"/>
    </row>
    <row r="71" spans="1:18" s="43" customFormat="1" ht="15.75">
      <c r="A71" s="68" t="s">
        <v>123</v>
      </c>
      <c r="B71" s="40">
        <v>1</v>
      </c>
      <c r="C71" s="40">
        <v>433</v>
      </c>
      <c r="D71" s="40">
        <f>C71*0.22</f>
        <v>95.26</v>
      </c>
      <c r="E71" s="40"/>
      <c r="F71" s="40"/>
      <c r="G71" s="65"/>
      <c r="H71" s="69">
        <f>B71*(C71+D71)</f>
        <v>528.26</v>
      </c>
      <c r="I71" s="36">
        <f>H71*0.2</f>
        <v>105.652</v>
      </c>
      <c r="J71" s="66">
        <f>ROUND(ROUND((H71+I71)*12,0)/100,0)*100</f>
        <v>7600</v>
      </c>
      <c r="Q71" s="44"/>
      <c r="R71" s="44"/>
    </row>
    <row r="72" spans="1:18" s="43" customFormat="1" ht="15.75">
      <c r="A72" s="70" t="s">
        <v>124</v>
      </c>
      <c r="B72" s="71">
        <f>SUM(B69:B71)</f>
        <v>6</v>
      </c>
      <c r="C72" s="71"/>
      <c r="D72" s="71"/>
      <c r="E72" s="71"/>
      <c r="F72" s="71"/>
      <c r="G72" s="72"/>
      <c r="H72" s="73">
        <f>SUM(H69:H71)</f>
        <v>1766.579995609863</v>
      </c>
      <c r="I72" s="73">
        <f>SUM(I69:I71)</f>
        <v>353.31599912197265</v>
      </c>
      <c r="J72" s="74">
        <f>SUM(J69:J71)</f>
        <v>25500</v>
      </c>
      <c r="Q72" s="44"/>
      <c r="R72" s="44"/>
    </row>
    <row r="73" spans="1:18" s="43" customFormat="1" ht="15.75">
      <c r="A73" s="75"/>
      <c r="B73" s="76"/>
      <c r="C73" s="76"/>
      <c r="D73" s="76"/>
      <c r="E73" s="76"/>
      <c r="F73" s="76"/>
      <c r="G73" s="77"/>
      <c r="H73" s="78"/>
      <c r="I73" s="78"/>
      <c r="J73" s="79"/>
      <c r="Q73" s="44"/>
      <c r="R73" s="44"/>
    </row>
    <row r="74" spans="1:18" s="43" customFormat="1" ht="14.25">
      <c r="A74" s="144" t="s">
        <v>125</v>
      </c>
      <c r="B74" s="144"/>
      <c r="C74" s="144"/>
      <c r="D74" s="144"/>
      <c r="E74" s="144"/>
      <c r="F74" s="144"/>
      <c r="G74" s="144"/>
      <c r="H74" s="144"/>
      <c r="I74" s="144"/>
      <c r="J74" s="144"/>
      <c r="Q74" s="44"/>
      <c r="R74" s="44"/>
    </row>
    <row r="75" spans="1:18" s="43" customFormat="1" ht="51" customHeight="1">
      <c r="A75" s="80" t="s">
        <v>75</v>
      </c>
      <c r="B75" s="81" t="s">
        <v>126</v>
      </c>
      <c r="C75" s="126" t="s">
        <v>127</v>
      </c>
      <c r="D75" s="127"/>
      <c r="E75" s="36" t="s">
        <v>128</v>
      </c>
      <c r="F75" s="128" t="s">
        <v>129</v>
      </c>
      <c r="G75" s="131"/>
      <c r="H75" s="129"/>
      <c r="I75" s="36" t="s">
        <v>130</v>
      </c>
      <c r="J75" s="36" t="s">
        <v>131</v>
      </c>
      <c r="Q75" s="44"/>
      <c r="R75" s="44"/>
    </row>
    <row r="76" spans="1:18" s="43" customFormat="1" ht="30">
      <c r="A76" s="80" t="s">
        <v>132</v>
      </c>
      <c r="B76" s="36">
        <v>425</v>
      </c>
      <c r="C76" s="128">
        <v>100</v>
      </c>
      <c r="D76" s="129"/>
      <c r="E76" s="36">
        <v>3</v>
      </c>
      <c r="F76" s="128">
        <f>B76*E76+C76*E76</f>
        <v>1575</v>
      </c>
      <c r="G76" s="131"/>
      <c r="H76" s="129"/>
      <c r="I76" s="36">
        <v>8</v>
      </c>
      <c r="J76" s="36">
        <f>F76*I76</f>
        <v>12600</v>
      </c>
      <c r="Q76" s="44"/>
      <c r="R76" s="44"/>
    </row>
    <row r="77" spans="1:18" s="43" customFormat="1" ht="30">
      <c r="A77" s="80" t="s">
        <v>133</v>
      </c>
      <c r="B77" s="36">
        <v>345</v>
      </c>
      <c r="C77" s="128">
        <v>90</v>
      </c>
      <c r="D77" s="129"/>
      <c r="E77" s="36">
        <v>5</v>
      </c>
      <c r="F77" s="128">
        <f>B77*E77+C77*E77</f>
        <v>2175</v>
      </c>
      <c r="G77" s="131"/>
      <c r="H77" s="129"/>
      <c r="I77" s="36">
        <v>8</v>
      </c>
      <c r="J77" s="36">
        <f>F77*I77</f>
        <v>17400</v>
      </c>
      <c r="Q77" s="44"/>
      <c r="R77" s="44"/>
    </row>
    <row r="78" spans="1:18" s="43" customFormat="1" ht="15.75">
      <c r="A78" s="80" t="s">
        <v>36</v>
      </c>
      <c r="B78" s="36" t="s">
        <v>81</v>
      </c>
      <c r="C78" s="125" t="s">
        <v>81</v>
      </c>
      <c r="D78" s="125"/>
      <c r="E78" s="36">
        <f>SUM(D76:E77)</f>
        <v>8</v>
      </c>
      <c r="F78" s="125">
        <f>SUM(F76:H77)</f>
        <v>3750</v>
      </c>
      <c r="G78" s="125"/>
      <c r="H78" s="125"/>
      <c r="I78" s="36" t="s">
        <v>81</v>
      </c>
      <c r="J78" s="36">
        <f>SUM(J76:J77)</f>
        <v>30000</v>
      </c>
      <c r="Q78" s="44"/>
      <c r="R78" s="44"/>
    </row>
    <row r="79" spans="1:18" s="43" customFormat="1" ht="15.75" hidden="1">
      <c r="A79" s="75"/>
      <c r="B79" s="76"/>
      <c r="C79" s="76"/>
      <c r="D79" s="76"/>
      <c r="E79" s="76"/>
      <c r="F79" s="76"/>
      <c r="G79" s="77"/>
      <c r="H79" s="78"/>
      <c r="I79" s="78"/>
      <c r="J79" s="79"/>
      <c r="Q79" s="44"/>
      <c r="R79" s="44"/>
    </row>
    <row r="80" spans="1:18" s="43" customFormat="1" ht="12.75">
      <c r="A80" s="82"/>
      <c r="B80" s="37"/>
      <c r="C80" s="37"/>
      <c r="D80" s="37"/>
      <c r="E80" s="37"/>
      <c r="F80" s="37"/>
      <c r="G80" s="37"/>
      <c r="H80" s="37"/>
      <c r="I80" s="37"/>
      <c r="J80" s="37"/>
      <c r="Q80" s="44"/>
      <c r="R80" s="44"/>
    </row>
    <row r="81" spans="1:18" s="43" customFormat="1" ht="18.75" hidden="1">
      <c r="A81" s="47" t="s">
        <v>134</v>
      </c>
      <c r="B81" s="138" t="s">
        <v>21</v>
      </c>
      <c r="C81" s="138"/>
      <c r="D81" s="138"/>
      <c r="E81" s="138"/>
      <c r="F81" s="138"/>
      <c r="G81" s="138"/>
      <c r="H81" s="138"/>
      <c r="I81" s="120">
        <f>SUM(J83:J84)</f>
        <v>0</v>
      </c>
      <c r="J81" s="120"/>
      <c r="Q81" s="44"/>
      <c r="R81" s="44"/>
    </row>
    <row r="82" spans="1:18" s="43" customFormat="1" ht="12.75" hidden="1">
      <c r="A82" s="82"/>
      <c r="B82" s="37"/>
      <c r="C82" s="37"/>
      <c r="D82" s="37"/>
      <c r="E82" s="37"/>
      <c r="F82" s="37"/>
      <c r="G82" s="37"/>
      <c r="H82" s="37"/>
      <c r="I82" s="37"/>
      <c r="J82" s="37"/>
      <c r="Q82" s="44"/>
      <c r="R82" s="44"/>
    </row>
    <row r="83" spans="1:18" s="43" customFormat="1" ht="18.75" hidden="1">
      <c r="A83" s="121" t="s">
        <v>135</v>
      </c>
      <c r="B83" s="121"/>
      <c r="C83" s="121"/>
      <c r="D83" s="121"/>
      <c r="E83" s="121"/>
      <c r="F83" s="121"/>
      <c r="G83" s="36" t="s">
        <v>81</v>
      </c>
      <c r="H83" s="36">
        <v>2</v>
      </c>
      <c r="I83" s="36"/>
      <c r="J83" s="66">
        <f>I83*H83</f>
        <v>0</v>
      </c>
      <c r="Q83" s="44"/>
      <c r="R83" s="44"/>
    </row>
    <row r="84" spans="1:18" s="43" customFormat="1" ht="18.75" hidden="1">
      <c r="A84" s="121" t="s">
        <v>136</v>
      </c>
      <c r="B84" s="121"/>
      <c r="C84" s="121"/>
      <c r="D84" s="121"/>
      <c r="E84" s="121"/>
      <c r="F84" s="121"/>
      <c r="G84" s="36" t="s">
        <v>81</v>
      </c>
      <c r="H84" s="36">
        <v>2</v>
      </c>
      <c r="I84" s="36"/>
      <c r="J84" s="66">
        <f>I84*H84</f>
        <v>0</v>
      </c>
      <c r="Q84" s="44"/>
      <c r="R84" s="44"/>
    </row>
    <row r="85" spans="1:18" s="43" customFormat="1" ht="18.75">
      <c r="A85" s="83"/>
      <c r="B85" s="83"/>
      <c r="C85" s="83"/>
      <c r="D85" s="83"/>
      <c r="E85" s="83"/>
      <c r="F85" s="83"/>
      <c r="G85" s="62"/>
      <c r="H85" s="62"/>
      <c r="I85" s="62"/>
      <c r="J85" s="63"/>
      <c r="Q85" s="44"/>
      <c r="R85" s="44"/>
    </row>
    <row r="86" spans="1:18" s="43" customFormat="1" ht="18.75">
      <c r="A86" s="47" t="s">
        <v>137</v>
      </c>
      <c r="B86" s="138" t="s">
        <v>27</v>
      </c>
      <c r="C86" s="138"/>
      <c r="D86" s="138"/>
      <c r="E86" s="138"/>
      <c r="F86" s="138"/>
      <c r="G86" s="138"/>
      <c r="H86" s="138"/>
      <c r="I86" s="120">
        <f>SUM(J88:J89)</f>
        <v>100</v>
      </c>
      <c r="J86" s="120"/>
      <c r="Q86" s="44"/>
      <c r="R86" s="44"/>
    </row>
    <row r="87" spans="1:18" s="43" customFormat="1" ht="12.75">
      <c r="A87" s="82"/>
      <c r="B87" s="37"/>
      <c r="C87" s="37"/>
      <c r="D87" s="37"/>
      <c r="E87" s="37"/>
      <c r="F87" s="37"/>
      <c r="G87" s="37"/>
      <c r="H87" s="37"/>
      <c r="I87" s="37"/>
      <c r="J87" s="37"/>
      <c r="Q87" s="44"/>
      <c r="R87" s="44"/>
    </row>
    <row r="88" spans="1:18" s="43" customFormat="1" ht="18.75">
      <c r="A88" s="121"/>
      <c r="B88" s="121"/>
      <c r="C88" s="121"/>
      <c r="D88" s="121"/>
      <c r="E88" s="121"/>
      <c r="F88" s="121"/>
      <c r="G88" s="36" t="s">
        <v>81</v>
      </c>
      <c r="H88" s="36" t="s">
        <v>81</v>
      </c>
      <c r="I88" s="36" t="s">
        <v>81</v>
      </c>
      <c r="J88" s="66"/>
      <c r="Q88" s="44"/>
      <c r="R88" s="44"/>
    </row>
    <row r="89" spans="1:18" s="43" customFormat="1" ht="18.75">
      <c r="A89" s="121" t="s">
        <v>138</v>
      </c>
      <c r="B89" s="121"/>
      <c r="C89" s="121"/>
      <c r="D89" s="121"/>
      <c r="E89" s="121"/>
      <c r="F89" s="121"/>
      <c r="G89" s="36" t="s">
        <v>81</v>
      </c>
      <c r="H89" s="36" t="s">
        <v>81</v>
      </c>
      <c r="I89" s="36" t="s">
        <v>81</v>
      </c>
      <c r="J89" s="66">
        <v>100</v>
      </c>
      <c r="Q89" s="44"/>
      <c r="R89" s="44"/>
    </row>
    <row r="90" spans="1:18" s="43" customFormat="1" ht="28.5" customHeight="1">
      <c r="A90" s="82"/>
      <c r="B90" s="37"/>
      <c r="C90" s="37"/>
      <c r="D90" s="37"/>
      <c r="E90" s="37"/>
      <c r="F90" s="37"/>
      <c r="G90" s="37"/>
      <c r="H90" s="37"/>
      <c r="I90" s="37"/>
      <c r="J90" s="37"/>
      <c r="Q90" s="44"/>
      <c r="R90" s="44"/>
    </row>
    <row r="91" spans="1:18" s="43" customFormat="1" ht="18.75">
      <c r="A91" s="47" t="s">
        <v>139</v>
      </c>
      <c r="B91" s="138" t="str">
        <f>'[1]2013-2.2'!$B$17</f>
        <v>Видатки на відрядження</v>
      </c>
      <c r="C91" s="138"/>
      <c r="D91" s="138"/>
      <c r="E91" s="138"/>
      <c r="F91" s="138"/>
      <c r="G91" s="138"/>
      <c r="H91" s="138"/>
      <c r="I91" s="120">
        <f>SUM(J94:J98)</f>
        <v>5900</v>
      </c>
      <c r="J91" s="120"/>
      <c r="Q91" s="44"/>
      <c r="R91" s="44"/>
    </row>
    <row r="92" spans="1:18" s="43" customFormat="1" ht="24" customHeight="1">
      <c r="A92" s="84"/>
      <c r="B92" s="37"/>
      <c r="C92" s="37"/>
      <c r="D92" s="37"/>
      <c r="E92" s="37"/>
      <c r="F92" s="37"/>
      <c r="G92" s="37"/>
      <c r="H92" s="37"/>
      <c r="I92" s="37"/>
      <c r="J92" s="37"/>
      <c r="Q92" s="44"/>
      <c r="R92" s="44"/>
    </row>
    <row r="93" spans="1:18" s="43" customFormat="1" ht="25.5">
      <c r="A93" s="142" t="s">
        <v>140</v>
      </c>
      <c r="B93" s="143"/>
      <c r="C93" s="143"/>
      <c r="D93" s="143"/>
      <c r="E93" s="143"/>
      <c r="F93" s="81" t="s">
        <v>141</v>
      </c>
      <c r="G93" s="37"/>
      <c r="H93" s="81" t="s">
        <v>77</v>
      </c>
      <c r="I93" s="81" t="s">
        <v>78</v>
      </c>
      <c r="J93" s="81" t="s">
        <v>79</v>
      </c>
      <c r="L93" s="85"/>
      <c r="Q93" s="44"/>
      <c r="R93" s="44"/>
    </row>
    <row r="94" spans="1:18" s="43" customFormat="1" ht="15.75">
      <c r="A94" s="128" t="s">
        <v>142</v>
      </c>
      <c r="B94" s="131"/>
      <c r="C94" s="131"/>
      <c r="D94" s="131"/>
      <c r="E94" s="131"/>
      <c r="F94" s="36">
        <v>3</v>
      </c>
      <c r="G94" s="37"/>
      <c r="H94" s="36">
        <v>6</v>
      </c>
      <c r="I94" s="36">
        <v>60</v>
      </c>
      <c r="J94" s="66">
        <f>I94*H94*F94</f>
        <v>1080</v>
      </c>
      <c r="Q94" s="44"/>
      <c r="R94" s="44"/>
    </row>
    <row r="95" spans="1:18" s="43" customFormat="1" ht="15.75">
      <c r="A95" s="128" t="s">
        <v>143</v>
      </c>
      <c r="B95" s="131"/>
      <c r="C95" s="131"/>
      <c r="D95" s="131"/>
      <c r="E95" s="131"/>
      <c r="F95" s="36">
        <v>1</v>
      </c>
      <c r="G95" s="37"/>
      <c r="H95" s="36">
        <v>3</v>
      </c>
      <c r="I95" s="36">
        <v>300</v>
      </c>
      <c r="J95" s="66">
        <f>I95*H95*F95</f>
        <v>900</v>
      </c>
      <c r="Q95" s="44"/>
      <c r="R95" s="44"/>
    </row>
    <row r="96" spans="1:18" s="43" customFormat="1" ht="15.75">
      <c r="A96" s="128" t="s">
        <v>144</v>
      </c>
      <c r="B96" s="131"/>
      <c r="C96" s="131"/>
      <c r="D96" s="131"/>
      <c r="E96" s="131"/>
      <c r="F96" s="36">
        <v>1</v>
      </c>
      <c r="G96" s="37"/>
      <c r="H96" s="36">
        <v>4</v>
      </c>
      <c r="I96" s="36">
        <v>130</v>
      </c>
      <c r="J96" s="66">
        <f>I96*H96*F96</f>
        <v>520</v>
      </c>
      <c r="Q96" s="44"/>
      <c r="R96" s="44"/>
    </row>
    <row r="97" spans="1:18" s="43" customFormat="1" ht="15.75" customHeight="1">
      <c r="A97" s="128" t="s">
        <v>145</v>
      </c>
      <c r="B97" s="131"/>
      <c r="C97" s="131"/>
      <c r="D97" s="131"/>
      <c r="E97" s="131"/>
      <c r="F97" s="36">
        <v>1</v>
      </c>
      <c r="G97" s="37"/>
      <c r="H97" s="36">
        <v>4</v>
      </c>
      <c r="I97" s="36">
        <v>250</v>
      </c>
      <c r="J97" s="66">
        <f>I97*H97*F97</f>
        <v>1000</v>
      </c>
      <c r="Q97" s="44"/>
      <c r="R97" s="44"/>
    </row>
    <row r="98" spans="1:18" s="43" customFormat="1" ht="15.75" customHeight="1">
      <c r="A98" s="128" t="s">
        <v>146</v>
      </c>
      <c r="B98" s="131"/>
      <c r="C98" s="131"/>
      <c r="D98" s="131"/>
      <c r="E98" s="131"/>
      <c r="F98" s="36">
        <v>2</v>
      </c>
      <c r="G98" s="37"/>
      <c r="H98" s="36">
        <v>6</v>
      </c>
      <c r="I98" s="36">
        <v>200</v>
      </c>
      <c r="J98" s="66">
        <f>I98*H98*F98</f>
        <v>2400</v>
      </c>
      <c r="Q98" s="44"/>
      <c r="R98" s="44"/>
    </row>
    <row r="99" spans="1:18" s="43" customFormat="1" ht="15.75">
      <c r="A99" s="86"/>
      <c r="B99" s="37"/>
      <c r="C99" s="37"/>
      <c r="D99" s="37"/>
      <c r="E99" s="37"/>
      <c r="F99" s="37"/>
      <c r="G99" s="37"/>
      <c r="H99" s="37"/>
      <c r="I99" s="37"/>
      <c r="J99" s="37"/>
      <c r="Q99" s="44"/>
      <c r="R99" s="44"/>
    </row>
    <row r="100" spans="1:18" s="43" customFormat="1" ht="15.75">
      <c r="A100" s="86"/>
      <c r="B100" s="37"/>
      <c r="C100" s="37"/>
      <c r="D100" s="37"/>
      <c r="E100" s="37"/>
      <c r="F100" s="37"/>
      <c r="G100" s="37"/>
      <c r="H100" s="37"/>
      <c r="I100" s="37"/>
      <c r="J100" s="37"/>
      <c r="Q100" s="44"/>
      <c r="R100" s="44"/>
    </row>
    <row r="101" spans="1:18" s="43" customFormat="1" ht="18.75">
      <c r="A101" s="47" t="s">
        <v>147</v>
      </c>
      <c r="B101" s="87" t="str">
        <f>'[1]2013-2.2'!$B$18</f>
        <v>Оплата комунальних послуг та енергоносіїв</v>
      </c>
      <c r="C101" s="88"/>
      <c r="D101" s="88"/>
      <c r="E101" s="88"/>
      <c r="F101" s="88"/>
      <c r="G101" s="88"/>
      <c r="H101" s="88"/>
      <c r="I101" s="120">
        <f>I103+I104+I105</f>
        <v>53500</v>
      </c>
      <c r="J101" s="120"/>
      <c r="K101" s="43">
        <f>I101/3</f>
        <v>17833.333333333332</v>
      </c>
      <c r="Q101" s="44"/>
      <c r="R101" s="44"/>
    </row>
    <row r="102" spans="1:18" s="43" customFormat="1" ht="15.75">
      <c r="A102" s="89"/>
      <c r="B102" s="37"/>
      <c r="C102" s="37"/>
      <c r="D102" s="37"/>
      <c r="E102" s="37"/>
      <c r="F102" s="37"/>
      <c r="G102" s="37"/>
      <c r="H102" s="37"/>
      <c r="I102" s="37"/>
      <c r="J102" s="37"/>
      <c r="K102" s="43">
        <f>21.7*3</f>
        <v>65.1</v>
      </c>
      <c r="Q102" s="44"/>
      <c r="R102" s="44"/>
    </row>
    <row r="103" spans="1:18" s="43" customFormat="1" ht="18.75">
      <c r="A103" s="47" t="s">
        <v>148</v>
      </c>
      <c r="B103" s="148" t="s">
        <v>149</v>
      </c>
      <c r="C103" s="149"/>
      <c r="D103" s="149"/>
      <c r="E103" s="149"/>
      <c r="F103" s="149"/>
      <c r="G103" s="149"/>
      <c r="H103" s="150"/>
      <c r="I103" s="147">
        <f>D113</f>
        <v>38800</v>
      </c>
      <c r="J103" s="147"/>
      <c r="M103" s="43">
        <f>3.796+2.972+2.447+2.448+2.885+2.7821+2.7667+3.0524+2.7667+3.7*3</f>
        <v>37.0159</v>
      </c>
      <c r="Q103" s="44"/>
      <c r="R103" s="44"/>
    </row>
    <row r="104" spans="1:18" s="43" customFormat="1" ht="18.75">
      <c r="A104" s="47" t="s">
        <v>150</v>
      </c>
      <c r="B104" s="148" t="s">
        <v>151</v>
      </c>
      <c r="C104" s="149"/>
      <c r="D104" s="149"/>
      <c r="E104" s="149"/>
      <c r="F104" s="149"/>
      <c r="G104" s="149"/>
      <c r="H104" s="150"/>
      <c r="I104" s="147">
        <f>F113+H113</f>
        <v>700</v>
      </c>
      <c r="J104" s="147"/>
      <c r="P104" s="43">
        <f>11/3.5</f>
        <v>3.142857142857143</v>
      </c>
      <c r="Q104" s="44"/>
      <c r="R104" s="44"/>
    </row>
    <row r="105" spans="1:18" s="43" customFormat="1" ht="18.75">
      <c r="A105" s="47" t="s">
        <v>152</v>
      </c>
      <c r="B105" s="148" t="s">
        <v>153</v>
      </c>
      <c r="C105" s="149"/>
      <c r="D105" s="149"/>
      <c r="E105" s="149"/>
      <c r="F105" s="149"/>
      <c r="G105" s="149"/>
      <c r="H105" s="150"/>
      <c r="I105" s="147">
        <f>I113</f>
        <v>14000</v>
      </c>
      <c r="J105" s="147"/>
      <c r="M105" s="43">
        <f>3.8*12</f>
        <v>45.599999999999994</v>
      </c>
      <c r="P105" s="43">
        <f>P104*6</f>
        <v>18.857142857142858</v>
      </c>
      <c r="Q105" s="44"/>
      <c r="R105" s="44"/>
    </row>
    <row r="106" spans="1:18" s="43" customFormat="1" ht="27.75" customHeight="1">
      <c r="A106" s="90"/>
      <c r="B106" s="37"/>
      <c r="C106" s="37"/>
      <c r="D106" s="37"/>
      <c r="E106" s="37"/>
      <c r="F106" s="37"/>
      <c r="G106" s="37"/>
      <c r="H106" s="37"/>
      <c r="I106" s="37"/>
      <c r="J106" s="37"/>
      <c r="Q106" s="44"/>
      <c r="R106" s="44"/>
    </row>
    <row r="107" spans="1:18" s="37" customFormat="1" ht="37.5" customHeight="1">
      <c r="A107" s="161" t="s">
        <v>154</v>
      </c>
      <c r="B107" s="162"/>
      <c r="C107" s="163"/>
      <c r="D107" s="136" t="s">
        <v>155</v>
      </c>
      <c r="E107" s="136"/>
      <c r="F107" s="136" t="s">
        <v>156</v>
      </c>
      <c r="G107" s="136"/>
      <c r="H107" s="136"/>
      <c r="I107" s="145" t="s">
        <v>157</v>
      </c>
      <c r="M107" s="37">
        <f>(3557.39*1.2+5851.04+6925.32+1883.47+7000+6000+3000)/1698.26</f>
        <v>20.56734422291051</v>
      </c>
      <c r="Q107" s="41"/>
      <c r="R107" s="41"/>
    </row>
    <row r="108" spans="1:18" s="37" customFormat="1" ht="25.5">
      <c r="A108" s="164"/>
      <c r="B108" s="165"/>
      <c r="C108" s="166"/>
      <c r="D108" s="67" t="s">
        <v>158</v>
      </c>
      <c r="E108" s="67" t="s">
        <v>159</v>
      </c>
      <c r="F108" s="136" t="s">
        <v>160</v>
      </c>
      <c r="G108" s="136"/>
      <c r="H108" s="67" t="s">
        <v>161</v>
      </c>
      <c r="I108" s="145"/>
      <c r="Q108" s="41"/>
      <c r="R108" s="41"/>
    </row>
    <row r="109" spans="1:18" s="37" customFormat="1" ht="15.75">
      <c r="A109" s="160" t="s">
        <v>162</v>
      </c>
      <c r="B109" s="160"/>
      <c r="C109" s="160"/>
      <c r="D109" s="91">
        <v>18.2</v>
      </c>
      <c r="E109" s="91"/>
      <c r="F109" s="137">
        <v>29</v>
      </c>
      <c r="G109" s="137"/>
      <c r="H109" s="91">
        <v>29</v>
      </c>
      <c r="I109" s="91">
        <v>4350</v>
      </c>
      <c r="N109" s="37">
        <v>2.42982</v>
      </c>
      <c r="Q109" s="41"/>
      <c r="R109" s="41"/>
    </row>
    <row r="110" spans="1:18" s="37" customFormat="1" ht="33" customHeight="1">
      <c r="A110" s="160" t="s">
        <v>163</v>
      </c>
      <c r="B110" s="160"/>
      <c r="C110" s="160"/>
      <c r="D110" s="91">
        <f>1939.37/1.2</f>
        <v>1616.1416666666667</v>
      </c>
      <c r="E110" s="91"/>
      <c r="F110" s="137">
        <v>9.16</v>
      </c>
      <c r="G110" s="137"/>
      <c r="H110" s="91">
        <v>9.08</v>
      </c>
      <c r="I110" s="91">
        <v>2.86</v>
      </c>
      <c r="P110" s="37">
        <f>11/3.5</f>
        <v>3.142857142857143</v>
      </c>
      <c r="Q110" s="41"/>
      <c r="R110" s="41"/>
    </row>
    <row r="111" spans="1:18" s="94" customFormat="1" ht="28.5" customHeight="1">
      <c r="A111" s="146" t="s">
        <v>164</v>
      </c>
      <c r="B111" s="146"/>
      <c r="C111" s="146"/>
      <c r="D111" s="91">
        <f>ROUND(D110*1.1,2)</f>
        <v>1777.76</v>
      </c>
      <c r="E111" s="93"/>
      <c r="F111" s="137">
        <f>ROUND(F110*1.1,2)</f>
        <v>10.08</v>
      </c>
      <c r="G111" s="137">
        <f>ROUND(G110*1.1016,2)</f>
        <v>0</v>
      </c>
      <c r="H111" s="91">
        <v>9.99</v>
      </c>
      <c r="I111" s="91">
        <f>ROUND(I110*1.1,2)</f>
        <v>3.15</v>
      </c>
      <c r="M111" s="94">
        <f>504.44+560.5+318.86+498.21+402+312.25+287+280.24+332.49+600*3</f>
        <v>5295.99</v>
      </c>
      <c r="P111" s="94">
        <f>P110*6</f>
        <v>18.857142857142858</v>
      </c>
      <c r="Q111" s="95"/>
      <c r="R111" s="95"/>
    </row>
    <row r="112" spans="1:18" s="94" customFormat="1" ht="48" customHeight="1">
      <c r="A112" s="132" t="s">
        <v>165</v>
      </c>
      <c r="B112" s="133"/>
      <c r="C112" s="134"/>
      <c r="D112" s="91">
        <f>D111*1.2</f>
        <v>2133.312</v>
      </c>
      <c r="E112" s="93"/>
      <c r="F112" s="92">
        <f>F111*1.2</f>
        <v>12.096</v>
      </c>
      <c r="G112" s="92"/>
      <c r="H112" s="91">
        <f>H111*1.2</f>
        <v>11.988</v>
      </c>
      <c r="I112" s="91">
        <f>ROUND((I109*0.024)*I111/10,0)*10</f>
        <v>330</v>
      </c>
      <c r="Q112" s="95"/>
      <c r="R112" s="95"/>
    </row>
    <row r="113" spans="1:18" s="98" customFormat="1" ht="20.25" customHeight="1">
      <c r="A113" s="130" t="s">
        <v>166</v>
      </c>
      <c r="B113" s="130"/>
      <c r="C113" s="130"/>
      <c r="D113" s="96">
        <f>ROUND(ROUNDUP(D109*D112,0)/10,0)*10-70+40</f>
        <v>38800</v>
      </c>
      <c r="E113" s="96">
        <f>ROUNDUP(ROUNDUP(E109*E111,0)/10,0)*10</f>
        <v>0</v>
      </c>
      <c r="F113" s="135">
        <f>ROUND(ROUND(F109*F112,0)/10,0)*10</f>
        <v>350</v>
      </c>
      <c r="G113" s="135"/>
      <c r="H113" s="97">
        <f>ROUND(ROUND(H109*H112,0)/10,0)*10</f>
        <v>350</v>
      </c>
      <c r="I113" s="97">
        <f>ROUNDUP(ROUNDUP(I109*I111,0)/10,0)*10+I112-40</f>
        <v>14000</v>
      </c>
      <c r="Q113" s="99"/>
      <c r="R113" s="99"/>
    </row>
    <row r="114" spans="1:18" s="43" customFormat="1" ht="48" customHeight="1">
      <c r="A114" s="84"/>
      <c r="B114" s="37"/>
      <c r="C114" s="37"/>
      <c r="D114" s="37"/>
      <c r="E114" s="37"/>
      <c r="F114" s="37"/>
      <c r="G114" s="37"/>
      <c r="H114" s="37"/>
      <c r="I114" s="37"/>
      <c r="J114" s="37"/>
      <c r="Q114" s="44"/>
      <c r="R114" s="44"/>
    </row>
    <row r="115" spans="1:18" s="43" customFormat="1" ht="18.75">
      <c r="A115" s="100" t="s">
        <v>48</v>
      </c>
      <c r="B115" s="37"/>
      <c r="C115" s="37"/>
      <c r="D115" s="37"/>
      <c r="E115" s="37"/>
      <c r="F115" s="37"/>
      <c r="G115" s="37"/>
      <c r="H115" s="100" t="s">
        <v>49</v>
      </c>
      <c r="I115" s="37"/>
      <c r="J115" s="37"/>
      <c r="Q115" s="44"/>
      <c r="R115" s="44"/>
    </row>
    <row r="116" spans="1:18" s="43" customFormat="1" ht="34.5" customHeight="1">
      <c r="A116" s="100"/>
      <c r="B116" s="37"/>
      <c r="C116" s="37"/>
      <c r="D116" s="37"/>
      <c r="E116" s="37"/>
      <c r="F116" s="37"/>
      <c r="G116" s="37"/>
      <c r="H116" s="37"/>
      <c r="I116" s="37"/>
      <c r="J116" s="37"/>
      <c r="Q116" s="44"/>
      <c r="R116" s="44"/>
    </row>
    <row r="117" spans="1:18" s="43" customFormat="1" ht="18.75">
      <c r="A117" s="100" t="s">
        <v>167</v>
      </c>
      <c r="B117" s="37"/>
      <c r="C117" s="37"/>
      <c r="D117" s="37"/>
      <c r="E117" s="37"/>
      <c r="F117" s="37"/>
      <c r="G117" s="37"/>
      <c r="H117" s="100" t="s">
        <v>168</v>
      </c>
      <c r="I117" s="37"/>
      <c r="J117" s="37"/>
      <c r="Q117" s="44"/>
      <c r="R117" s="44"/>
    </row>
    <row r="118" spans="1:18" s="43" customFormat="1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Q118" s="44"/>
      <c r="R118" s="44"/>
    </row>
    <row r="119" spans="1:18" s="43" customFormat="1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Q119" s="44"/>
      <c r="R119" s="44"/>
    </row>
    <row r="120" spans="1:34" s="43" customFormat="1" ht="15.75" hidden="1">
      <c r="A120" s="101" t="s">
        <v>169</v>
      </c>
      <c r="B120" s="102"/>
      <c r="C120" s="102"/>
      <c r="E120" s="103"/>
      <c r="F120" s="103"/>
      <c r="G120" s="104"/>
      <c r="H120" s="105"/>
      <c r="I120" s="104"/>
      <c r="J120" s="105"/>
      <c r="K120" s="105"/>
      <c r="L120" s="105"/>
      <c r="M120" s="105"/>
      <c r="N120" s="105"/>
      <c r="O120" s="105"/>
      <c r="P120" s="105"/>
      <c r="Q120" s="104"/>
      <c r="R120" s="104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</row>
    <row r="121" spans="1:18" s="43" customFormat="1" ht="65.25" customHeight="1" hidden="1">
      <c r="A121" s="178" t="s">
        <v>170</v>
      </c>
      <c r="B121" s="178"/>
      <c r="C121" s="178"/>
      <c r="G121" s="44"/>
      <c r="I121" s="44"/>
      <c r="Q121" s="44"/>
      <c r="R121" s="44"/>
    </row>
    <row r="122" spans="1:18" s="43" customFormat="1" ht="29.25" customHeight="1" hidden="1">
      <c r="A122" s="176"/>
      <c r="B122" s="176"/>
      <c r="C122" s="177" t="s">
        <v>171</v>
      </c>
      <c r="D122" s="177"/>
      <c r="E122" s="177"/>
      <c r="F122" s="177"/>
      <c r="G122" s="44"/>
      <c r="I122" s="44"/>
      <c r="Q122" s="44"/>
      <c r="R122" s="44"/>
    </row>
    <row r="123" spans="1:18" s="43" customFormat="1" ht="15.75" hidden="1">
      <c r="A123" s="106"/>
      <c r="B123" s="107"/>
      <c r="C123" s="44"/>
      <c r="E123" s="106"/>
      <c r="F123" s="106"/>
      <c r="G123" s="44"/>
      <c r="I123" s="44"/>
      <c r="Q123" s="44"/>
      <c r="R123" s="44"/>
    </row>
    <row r="124" spans="1:18" s="43" customFormat="1" ht="12.75" hidden="1">
      <c r="A124" s="43" t="s">
        <v>172</v>
      </c>
      <c r="B124" s="44"/>
      <c r="C124" s="44"/>
      <c r="G124" s="44"/>
      <c r="I124" s="44"/>
      <c r="Q124" s="44"/>
      <c r="R124" s="44"/>
    </row>
    <row r="125" spans="2:18" s="43" customFormat="1" ht="12.75">
      <c r="B125" s="44"/>
      <c r="C125" s="44"/>
      <c r="G125" s="44"/>
      <c r="I125" s="44"/>
      <c r="Q125" s="44"/>
      <c r="R125" s="44"/>
    </row>
    <row r="126" spans="1:18" s="43" customFormat="1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Q126" s="44"/>
      <c r="R126" s="44"/>
    </row>
    <row r="127" spans="1:18" s="43" customFormat="1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Q127" s="44"/>
      <c r="R127" s="44"/>
    </row>
    <row r="128" spans="1:18" s="43" customFormat="1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Q128" s="44"/>
      <c r="R128" s="44"/>
    </row>
    <row r="129" spans="1:18" s="43" customFormat="1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Q129" s="44"/>
      <c r="R129" s="44"/>
    </row>
    <row r="130" spans="1:18" s="43" customFormat="1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Q130" s="44"/>
      <c r="R130" s="44"/>
    </row>
    <row r="131" spans="1:18" s="43" customFormat="1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Q131" s="44"/>
      <c r="R131" s="44"/>
    </row>
    <row r="132" spans="1:18" s="43" customFormat="1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Q132" s="44"/>
      <c r="R132" s="44"/>
    </row>
    <row r="133" spans="1:18" s="43" customFormat="1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Q133" s="44"/>
      <c r="R133" s="44"/>
    </row>
    <row r="134" spans="1:18" s="43" customFormat="1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Q134" s="44"/>
      <c r="R134" s="44"/>
    </row>
    <row r="135" spans="1:18" s="43" customFormat="1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Q135" s="44"/>
      <c r="R135" s="44"/>
    </row>
    <row r="136" spans="1:18" s="43" customFormat="1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Q136" s="44"/>
      <c r="R136" s="44"/>
    </row>
    <row r="137" spans="1:18" s="43" customFormat="1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Q137" s="44"/>
      <c r="R137" s="44"/>
    </row>
    <row r="138" spans="1:18" s="43" customFormat="1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Q138" s="44"/>
      <c r="R138" s="44"/>
    </row>
    <row r="139" spans="1:18" s="43" customFormat="1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Q139" s="44"/>
      <c r="R139" s="44"/>
    </row>
    <row r="140" spans="1:18" s="43" customFormat="1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Q140" s="44"/>
      <c r="R140" s="44"/>
    </row>
    <row r="141" spans="1:18" s="43" customFormat="1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Q141" s="44"/>
      <c r="R141" s="44"/>
    </row>
    <row r="142" spans="1:18" s="43" customFormat="1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Q142" s="44"/>
      <c r="R142" s="44"/>
    </row>
    <row r="143" spans="1:18" s="43" customFormat="1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Q143" s="44"/>
      <c r="R143" s="44"/>
    </row>
    <row r="144" spans="1:18" s="43" customFormat="1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Q144" s="44"/>
      <c r="R144" s="44"/>
    </row>
    <row r="145" spans="1:18" s="43" customFormat="1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Q145" s="44"/>
      <c r="R145" s="44"/>
    </row>
    <row r="146" spans="1:18" s="43" customFormat="1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Q146" s="44"/>
      <c r="R146" s="44"/>
    </row>
    <row r="147" spans="1:18" s="43" customFormat="1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Q147" s="44"/>
      <c r="R147" s="44"/>
    </row>
    <row r="148" spans="1:18" s="43" customFormat="1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Q148" s="44"/>
      <c r="R148" s="44"/>
    </row>
    <row r="149" spans="1:18" s="43" customFormat="1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Q149" s="44"/>
      <c r="R149" s="44"/>
    </row>
    <row r="150" spans="1:18" s="43" customFormat="1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Q150" s="44"/>
      <c r="R150" s="44"/>
    </row>
    <row r="151" spans="1:18" s="43" customFormat="1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Q151" s="44"/>
      <c r="R151" s="44"/>
    </row>
    <row r="152" spans="1:18" s="43" customFormat="1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Q152" s="44"/>
      <c r="R152" s="44"/>
    </row>
    <row r="153" spans="1:18" s="43" customFormat="1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Q153" s="44"/>
      <c r="R153" s="44"/>
    </row>
    <row r="154" spans="1:18" s="43" customFormat="1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Q154" s="44"/>
      <c r="R154" s="44"/>
    </row>
    <row r="155" spans="1:18" s="43" customFormat="1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Q155" s="44"/>
      <c r="R155" s="44"/>
    </row>
    <row r="156" spans="1:18" s="43" customFormat="1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Q156" s="44"/>
      <c r="R156" s="44"/>
    </row>
    <row r="157" spans="1:18" s="43" customFormat="1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Q157" s="44"/>
      <c r="R157" s="44"/>
    </row>
    <row r="158" spans="1:18" s="43" customFormat="1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Q158" s="44"/>
      <c r="R158" s="44"/>
    </row>
    <row r="159" spans="1:18" s="43" customFormat="1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Q159" s="44"/>
      <c r="R159" s="44"/>
    </row>
    <row r="160" spans="1:18" s="43" customFormat="1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Q160" s="44"/>
      <c r="R160" s="44"/>
    </row>
    <row r="161" spans="1:18" s="43" customFormat="1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Q161" s="44"/>
      <c r="R161" s="44"/>
    </row>
    <row r="162" spans="1:18" s="43" customFormat="1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Q162" s="44"/>
      <c r="R162" s="44"/>
    </row>
    <row r="163" spans="1:18" s="43" customFormat="1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Q163" s="44"/>
      <c r="R163" s="44"/>
    </row>
    <row r="164" spans="1:18" s="43" customFormat="1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Q164" s="44"/>
      <c r="R164" s="44"/>
    </row>
    <row r="165" spans="1:18" s="43" customFormat="1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Q165" s="44"/>
      <c r="R165" s="44"/>
    </row>
    <row r="166" spans="1:18" s="43" customFormat="1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Q166" s="44"/>
      <c r="R166" s="44"/>
    </row>
    <row r="167" spans="1:18" s="43" customFormat="1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Q167" s="44"/>
      <c r="R167" s="44"/>
    </row>
    <row r="168" spans="1:18" s="43" customFormat="1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Q168" s="44"/>
      <c r="R168" s="44"/>
    </row>
    <row r="169" spans="1:18" s="43" customFormat="1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Q169" s="44"/>
      <c r="R169" s="44"/>
    </row>
    <row r="170" spans="1:18" s="43" customFormat="1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Q170" s="44"/>
      <c r="R170" s="44"/>
    </row>
    <row r="171" spans="1:18" s="43" customFormat="1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Q171" s="44"/>
      <c r="R171" s="44"/>
    </row>
    <row r="172" spans="1:18" s="43" customFormat="1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Q172" s="44"/>
      <c r="R172" s="44"/>
    </row>
    <row r="173" spans="1:18" s="43" customFormat="1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Q173" s="44"/>
      <c r="R173" s="44"/>
    </row>
    <row r="174" spans="1:18" s="43" customFormat="1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Q174" s="44"/>
      <c r="R174" s="44"/>
    </row>
    <row r="175" spans="1:18" s="43" customFormat="1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Q175" s="44"/>
      <c r="R175" s="44"/>
    </row>
    <row r="176" spans="1:18" s="43" customFormat="1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Q176" s="44"/>
      <c r="R176" s="44"/>
    </row>
    <row r="177" spans="1:18" s="43" customFormat="1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Q177" s="44"/>
      <c r="R177" s="44"/>
    </row>
    <row r="178" spans="1:18" s="43" customFormat="1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Q178" s="44"/>
      <c r="R178" s="44"/>
    </row>
    <row r="179" spans="1:18" s="43" customFormat="1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Q179" s="44"/>
      <c r="R179" s="44"/>
    </row>
    <row r="180" spans="1:18" s="43" customFormat="1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Q180" s="44"/>
      <c r="R180" s="44"/>
    </row>
    <row r="181" spans="1:18" s="43" customFormat="1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Q181" s="44"/>
      <c r="R181" s="44"/>
    </row>
    <row r="182" spans="1:18" s="43" customFormat="1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Q182" s="44"/>
      <c r="R182" s="44"/>
    </row>
    <row r="183" spans="1:18" s="43" customFormat="1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Q183" s="44"/>
      <c r="R183" s="44"/>
    </row>
    <row r="184" spans="1:18" s="43" customFormat="1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Q184" s="44"/>
      <c r="R184" s="44"/>
    </row>
    <row r="185" spans="1:18" s="43" customFormat="1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Q185" s="44"/>
      <c r="R185" s="44"/>
    </row>
    <row r="186" spans="1:18" s="43" customFormat="1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Q186" s="44"/>
      <c r="R186" s="44"/>
    </row>
    <row r="187" spans="1:18" s="43" customFormat="1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Q187" s="44"/>
      <c r="R187" s="44"/>
    </row>
    <row r="188" spans="1:18" s="43" customFormat="1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Q188" s="44"/>
      <c r="R188" s="44"/>
    </row>
    <row r="189" spans="1:18" s="43" customFormat="1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Q189" s="44"/>
      <c r="R189" s="44"/>
    </row>
    <row r="190" spans="1:18" s="43" customFormat="1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Q190" s="44"/>
      <c r="R190" s="44"/>
    </row>
    <row r="191" spans="1:18" s="43" customFormat="1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Q191" s="44"/>
      <c r="R191" s="44"/>
    </row>
    <row r="192" spans="1:18" s="43" customFormat="1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Q192" s="44"/>
      <c r="R192" s="44"/>
    </row>
    <row r="193" spans="1:18" s="43" customFormat="1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Q193" s="44"/>
      <c r="R193" s="44"/>
    </row>
    <row r="194" spans="1:18" s="43" customFormat="1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Q194" s="44"/>
      <c r="R194" s="44"/>
    </row>
    <row r="195" spans="1:18" s="43" customFormat="1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Q195" s="44"/>
      <c r="R195" s="44"/>
    </row>
    <row r="196" spans="1:18" s="43" customFormat="1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Q196" s="44"/>
      <c r="R196" s="44"/>
    </row>
    <row r="197" spans="1:18" s="43" customFormat="1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Q197" s="44"/>
      <c r="R197" s="44"/>
    </row>
    <row r="198" spans="1:18" s="43" customFormat="1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Q198" s="44"/>
      <c r="R198" s="44"/>
    </row>
    <row r="199" spans="1:18" s="43" customFormat="1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Q199" s="44"/>
      <c r="R199" s="44"/>
    </row>
    <row r="200" spans="1:18" s="43" customFormat="1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Q200" s="44"/>
      <c r="R200" s="44"/>
    </row>
    <row r="201" spans="1:18" s="43" customFormat="1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Q201" s="44"/>
      <c r="R201" s="44"/>
    </row>
    <row r="202" spans="1:18" s="43" customFormat="1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Q202" s="44"/>
      <c r="R202" s="44"/>
    </row>
    <row r="203" spans="1:18" s="43" customFormat="1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Q203" s="44"/>
      <c r="R203" s="44"/>
    </row>
    <row r="204" spans="1:18" s="43" customFormat="1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Q204" s="44"/>
      <c r="R204" s="44"/>
    </row>
    <row r="205" spans="1:18" s="43" customFormat="1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Q205" s="44"/>
      <c r="R205" s="44"/>
    </row>
    <row r="206" spans="1:18" s="43" customFormat="1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Q206" s="44"/>
      <c r="R206" s="44"/>
    </row>
    <row r="207" spans="1:18" s="43" customFormat="1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Q207" s="44"/>
      <c r="R207" s="44"/>
    </row>
    <row r="208" spans="1:18" s="43" customFormat="1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Q208" s="44"/>
      <c r="R208" s="44"/>
    </row>
    <row r="209" spans="1:18" s="43" customFormat="1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Q209" s="44"/>
      <c r="R209" s="44"/>
    </row>
    <row r="210" spans="1:18" s="43" customFormat="1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Q210" s="44"/>
      <c r="R210" s="44"/>
    </row>
    <row r="211" spans="1:18" s="43" customFormat="1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Q211" s="44"/>
      <c r="R211" s="44"/>
    </row>
    <row r="212" spans="1:18" s="43" customFormat="1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Q212" s="44"/>
      <c r="R212" s="44"/>
    </row>
    <row r="213" spans="1:18" s="43" customFormat="1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Q213" s="44"/>
      <c r="R213" s="44"/>
    </row>
    <row r="214" spans="1:18" s="43" customFormat="1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Q214" s="44"/>
      <c r="R214" s="44"/>
    </row>
    <row r="215" spans="1:18" s="43" customFormat="1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Q215" s="44"/>
      <c r="R215" s="44"/>
    </row>
    <row r="216" spans="1:18" s="43" customFormat="1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Q216" s="44"/>
      <c r="R216" s="44"/>
    </row>
    <row r="217" spans="1:18" s="43" customFormat="1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Q217" s="44"/>
      <c r="R217" s="44"/>
    </row>
    <row r="218" spans="1:18" s="43" customFormat="1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Q218" s="44"/>
      <c r="R218" s="44"/>
    </row>
    <row r="219" spans="1:18" s="43" customFormat="1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Q219" s="44"/>
      <c r="R219" s="44"/>
    </row>
    <row r="220" spans="1:18" s="43" customFormat="1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Q220" s="44"/>
      <c r="R220" s="44"/>
    </row>
    <row r="221" spans="1:18" s="43" customFormat="1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Q221" s="44"/>
      <c r="R221" s="44"/>
    </row>
    <row r="222" spans="1:18" s="43" customFormat="1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Q222" s="44"/>
      <c r="R222" s="44"/>
    </row>
    <row r="223" spans="1:18" s="43" customFormat="1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Q223" s="44"/>
      <c r="R223" s="44"/>
    </row>
    <row r="224" spans="1:18" s="43" customFormat="1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Q224" s="44"/>
      <c r="R224" s="44"/>
    </row>
    <row r="225" spans="1:18" s="43" customFormat="1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Q225" s="44"/>
      <c r="R225" s="44"/>
    </row>
    <row r="226" spans="1:18" s="43" customFormat="1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Q226" s="44"/>
      <c r="R226" s="44"/>
    </row>
    <row r="227" spans="1:18" s="43" customFormat="1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Q227" s="44"/>
      <c r="R227" s="44"/>
    </row>
    <row r="228" spans="1:18" s="43" customFormat="1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Q228" s="44"/>
      <c r="R228" s="44"/>
    </row>
    <row r="229" spans="1:18" s="43" customFormat="1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Q229" s="44"/>
      <c r="R229" s="44"/>
    </row>
    <row r="230" spans="1:18" s="43" customFormat="1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Q230" s="44"/>
      <c r="R230" s="44"/>
    </row>
    <row r="231" spans="1:18" s="43" customFormat="1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Q231" s="44"/>
      <c r="R231" s="44"/>
    </row>
    <row r="232" spans="1:18" s="43" customFormat="1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Q232" s="44"/>
      <c r="R232" s="44"/>
    </row>
    <row r="233" spans="1:18" s="43" customFormat="1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Q233" s="44"/>
      <c r="R233" s="44"/>
    </row>
    <row r="234" spans="1:18" s="43" customFormat="1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Q234" s="44"/>
      <c r="R234" s="44"/>
    </row>
    <row r="235" spans="1:18" s="108" customFormat="1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Q235" s="109"/>
      <c r="R235" s="109"/>
    </row>
    <row r="236" spans="1:18" s="108" customFormat="1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Q236" s="109"/>
      <c r="R236" s="109"/>
    </row>
    <row r="237" spans="1:18" s="108" customFormat="1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Q237" s="109"/>
      <c r="R237" s="109"/>
    </row>
    <row r="238" spans="1:18" s="108" customFormat="1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Q238" s="109"/>
      <c r="R238" s="109"/>
    </row>
    <row r="239" spans="1:18" s="108" customFormat="1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Q239" s="109"/>
      <c r="R239" s="109"/>
    </row>
    <row r="240" spans="1:18" s="108" customFormat="1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Q240" s="109"/>
      <c r="R240" s="109"/>
    </row>
    <row r="241" spans="1:18" s="108" customFormat="1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Q241" s="109"/>
      <c r="R241" s="109"/>
    </row>
    <row r="242" spans="1:18" s="108" customFormat="1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Q242" s="109"/>
      <c r="R242" s="109"/>
    </row>
    <row r="243" spans="1:18" s="108" customFormat="1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Q243" s="109"/>
      <c r="R243" s="109"/>
    </row>
    <row r="244" spans="1:18" s="108" customFormat="1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Q244" s="109"/>
      <c r="R244" s="109"/>
    </row>
    <row r="245" spans="1:18" s="108" customFormat="1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Q245" s="109"/>
      <c r="R245" s="109"/>
    </row>
    <row r="246" spans="1:18" s="108" customFormat="1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Q246" s="109"/>
      <c r="R246" s="109"/>
    </row>
    <row r="247" spans="1:18" s="108" customFormat="1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Q247" s="109"/>
      <c r="R247" s="109"/>
    </row>
    <row r="248" spans="1:18" s="108" customFormat="1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Q248" s="109"/>
      <c r="R248" s="109"/>
    </row>
    <row r="249" spans="1:18" s="108" customFormat="1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Q249" s="109"/>
      <c r="R249" s="109"/>
    </row>
    <row r="250" spans="1:18" s="108" customFormat="1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Q250" s="109"/>
      <c r="R250" s="109"/>
    </row>
    <row r="251" spans="1:18" s="108" customFormat="1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Q251" s="109"/>
      <c r="R251" s="109"/>
    </row>
    <row r="252" spans="1:18" s="108" customFormat="1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Q252" s="109"/>
      <c r="R252" s="109"/>
    </row>
    <row r="253" spans="1:18" s="108" customFormat="1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Q253" s="109"/>
      <c r="R253" s="109"/>
    </row>
    <row r="254" spans="1:18" s="108" customFormat="1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Q254" s="109"/>
      <c r="R254" s="109"/>
    </row>
    <row r="255" spans="1:18" s="108" customFormat="1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Q255" s="109"/>
      <c r="R255" s="109"/>
    </row>
    <row r="256" spans="1:18" s="108" customFormat="1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Q256" s="109"/>
      <c r="R256" s="109"/>
    </row>
    <row r="257" spans="1:18" s="108" customFormat="1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Q257" s="109"/>
      <c r="R257" s="109"/>
    </row>
    <row r="258" spans="1:18" s="108" customFormat="1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Q258" s="109"/>
      <c r="R258" s="109"/>
    </row>
    <row r="259" spans="1:18" s="108" customFormat="1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Q259" s="109"/>
      <c r="R259" s="109"/>
    </row>
    <row r="260" spans="1:18" s="108" customFormat="1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Q260" s="109"/>
      <c r="R260" s="109"/>
    </row>
    <row r="261" spans="1:18" s="108" customFormat="1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Q261" s="109"/>
      <c r="R261" s="109"/>
    </row>
    <row r="262" spans="1:18" s="108" customFormat="1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Q262" s="109"/>
      <c r="R262" s="109"/>
    </row>
    <row r="263" spans="1:18" s="108" customFormat="1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Q263" s="109"/>
      <c r="R263" s="109"/>
    </row>
    <row r="264" spans="1:18" s="108" customFormat="1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Q264" s="109"/>
      <c r="R264" s="109"/>
    </row>
    <row r="265" spans="1:18" s="108" customFormat="1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Q265" s="109"/>
      <c r="R265" s="109"/>
    </row>
    <row r="266" spans="1:18" s="108" customFormat="1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Q266" s="109"/>
      <c r="R266" s="109"/>
    </row>
  </sheetData>
  <sheetProtection/>
  <mergeCells count="117">
    <mergeCell ref="A122:B122"/>
    <mergeCell ref="C122:D122"/>
    <mergeCell ref="E122:F122"/>
    <mergeCell ref="A121:C121"/>
    <mergeCell ref="D107:E107"/>
    <mergeCell ref="A6:J6"/>
    <mergeCell ref="A7:J7"/>
    <mergeCell ref="A8:J8"/>
    <mergeCell ref="A9:J9"/>
    <mergeCell ref="G20:G21"/>
    <mergeCell ref="H20:H21"/>
    <mergeCell ref="A16:B16"/>
    <mergeCell ref="C16:F16"/>
    <mergeCell ref="A67:J67"/>
    <mergeCell ref="A110:C110"/>
    <mergeCell ref="A10:J10"/>
    <mergeCell ref="A11:J11"/>
    <mergeCell ref="I47:J47"/>
    <mergeCell ref="B47:H47"/>
    <mergeCell ref="A43:F43"/>
    <mergeCell ref="I24:J24"/>
    <mergeCell ref="I26:J26"/>
    <mergeCell ref="F107:H107"/>
    <mergeCell ref="A40:F40"/>
    <mergeCell ref="B18:H18"/>
    <mergeCell ref="A107:C108"/>
    <mergeCell ref="B26:H26"/>
    <mergeCell ref="I20:I21"/>
    <mergeCell ref="A20:A21"/>
    <mergeCell ref="B20:B21"/>
    <mergeCell ref="A109:C109"/>
    <mergeCell ref="A45:F45"/>
    <mergeCell ref="A51:F51"/>
    <mergeCell ref="A54:F54"/>
    <mergeCell ref="A42:F42"/>
    <mergeCell ref="A41:F41"/>
    <mergeCell ref="A57:F57"/>
    <mergeCell ref="A56:F56"/>
    <mergeCell ref="A50:F50"/>
    <mergeCell ref="A95:E95"/>
    <mergeCell ref="C20:C21"/>
    <mergeCell ref="A30:F30"/>
    <mergeCell ref="D20:D21"/>
    <mergeCell ref="E20:E21"/>
    <mergeCell ref="A13:J13"/>
    <mergeCell ref="A49:F49"/>
    <mergeCell ref="A14:J14"/>
    <mergeCell ref="H16:J16"/>
    <mergeCell ref="A15:J15"/>
    <mergeCell ref="I18:J18"/>
    <mergeCell ref="F20:F21"/>
    <mergeCell ref="J20:J21"/>
    <mergeCell ref="A34:F34"/>
    <mergeCell ref="I86:J86"/>
    <mergeCell ref="B86:H86"/>
    <mergeCell ref="A89:F89"/>
    <mergeCell ref="A63:F63"/>
    <mergeCell ref="A61:F61"/>
    <mergeCell ref="A60:F60"/>
    <mergeCell ref="A64:F64"/>
    <mergeCell ref="B103:H103"/>
    <mergeCell ref="A28:F28"/>
    <mergeCell ref="A35:F35"/>
    <mergeCell ref="A29:F29"/>
    <mergeCell ref="A32:F32"/>
    <mergeCell ref="A88:F88"/>
    <mergeCell ref="A31:F31"/>
    <mergeCell ref="A38:F38"/>
    <mergeCell ref="A58:F58"/>
    <mergeCell ref="A65:F65"/>
    <mergeCell ref="I101:J101"/>
    <mergeCell ref="F110:G110"/>
    <mergeCell ref="F111:G111"/>
    <mergeCell ref="I107:I108"/>
    <mergeCell ref="A111:C111"/>
    <mergeCell ref="I104:J104"/>
    <mergeCell ref="I105:J105"/>
    <mergeCell ref="B104:H104"/>
    <mergeCell ref="B105:H105"/>
    <mergeCell ref="I103:J103"/>
    <mergeCell ref="I91:J91"/>
    <mergeCell ref="B91:H91"/>
    <mergeCell ref="A96:E96"/>
    <mergeCell ref="A53:F53"/>
    <mergeCell ref="A74:J74"/>
    <mergeCell ref="F75:H75"/>
    <mergeCell ref="F76:H76"/>
    <mergeCell ref="B24:H24"/>
    <mergeCell ref="A93:E93"/>
    <mergeCell ref="A94:E94"/>
    <mergeCell ref="A97:E97"/>
    <mergeCell ref="A44:F44"/>
    <mergeCell ref="C77:D77"/>
    <mergeCell ref="A36:F36"/>
    <mergeCell ref="A59:F59"/>
    <mergeCell ref="A37:F37"/>
    <mergeCell ref="A33:F33"/>
    <mergeCell ref="A113:C113"/>
    <mergeCell ref="A66:F66"/>
    <mergeCell ref="A84:F84"/>
    <mergeCell ref="A98:E98"/>
    <mergeCell ref="A112:C112"/>
    <mergeCell ref="F113:G113"/>
    <mergeCell ref="F108:G108"/>
    <mergeCell ref="F109:G109"/>
    <mergeCell ref="B81:H81"/>
    <mergeCell ref="F77:H77"/>
    <mergeCell ref="A52:F52"/>
    <mergeCell ref="A55:F55"/>
    <mergeCell ref="A39:F39"/>
    <mergeCell ref="I81:J81"/>
    <mergeCell ref="A83:F83"/>
    <mergeCell ref="A62:F62"/>
    <mergeCell ref="F78:H78"/>
    <mergeCell ref="C75:D75"/>
    <mergeCell ref="C76:D76"/>
    <mergeCell ref="C78:D78"/>
  </mergeCells>
  <printOptions/>
  <pageMargins left="0.67" right="0.21" top="0.46" bottom="0.41" header="0.42" footer="0.23"/>
  <pageSetup fitToHeight="10" horizontalDpi="600" verticalDpi="600" orientation="portrait" paperSize="9" scale="90" r:id="rId2"/>
  <rowBreaks count="2" manualBreakCount="2">
    <brk id="46" max="255" man="1"/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u250705</dc:creator>
  <cp:keywords/>
  <dc:description/>
  <cp:lastModifiedBy>gromdepinform</cp:lastModifiedBy>
  <cp:lastPrinted>2018-11-20T07:14:45Z</cp:lastPrinted>
  <dcterms:created xsi:type="dcterms:W3CDTF">2017-11-24T09:48:31Z</dcterms:created>
  <dcterms:modified xsi:type="dcterms:W3CDTF">2018-11-20T13:39:11Z</dcterms:modified>
  <cp:category/>
  <cp:version/>
  <cp:contentType/>
  <cp:contentStatus/>
</cp:coreProperties>
</file>